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INFORMATION AND TOTAL" sheetId="1" r:id="rId4"/>
    <sheet name="CLIMBING HOLDS " sheetId="2" r:id="rId5"/>
    <sheet name="PLYWOOD VOLUMES" sheetId="3" r:id="rId6"/>
    <sheet name="HARDWARE" sheetId="4" r:id="rId7"/>
  </sheets>
</workbook>
</file>

<file path=xl/comments1.xml><?xml version="1.0" encoding="utf-8"?>
<comments xmlns="http://schemas.openxmlformats.org/spreadsheetml/2006/main">
  <authors>
    <author>Author</author>
  </authors>
  <commentList>
    <comment ref="A4" authorId="0">
      <text>
        <t/>
      </text>
    </comment>
    <comment ref="A5" authorId="0">
      <text>
        <t/>
      </text>
    </comment>
    <comment ref="A6" authorId="0">
      <text>
        <t/>
      </text>
    </comment>
    <comment ref="A7" authorId="0">
      <text>
        <t/>
      </text>
    </comment>
    <comment ref="A8" authorId="0">
      <text>
        <t/>
      </text>
    </comment>
    <comment ref="A9" authorId="0">
      <text>
        <t/>
      </text>
    </comment>
  </commentList>
</comments>
</file>

<file path=xl/sharedStrings.xml><?xml version="1.0" encoding="utf-8"?>
<sst xmlns="http://schemas.openxmlformats.org/spreadsheetml/2006/main" uniqueCount="287">
  <si>
    <t>IBEX CLIMBING HOLDS</t>
  </si>
  <si>
    <t>YOUR INFO:</t>
  </si>
  <si>
    <t>Billing Information</t>
  </si>
  <si>
    <t>Delivery Information</t>
  </si>
  <si>
    <t>Company name:</t>
  </si>
  <si>
    <t>Company address:</t>
  </si>
  <si>
    <t>Delivery address:</t>
  </si>
  <si>
    <t>Country:</t>
  </si>
  <si>
    <t>VAT number:</t>
  </si>
  <si>
    <t>Responsible person:</t>
  </si>
  <si>
    <t>Tel:</t>
  </si>
  <si>
    <t>E-mail:</t>
  </si>
  <si>
    <t>ORDER INFO</t>
  </si>
  <si>
    <t>Product Information</t>
  </si>
  <si>
    <t>Sets</t>
  </si>
  <si>
    <t>Pieces</t>
  </si>
  <si>
    <t>Total amount</t>
  </si>
  <si>
    <t>SIZES</t>
  </si>
  <si>
    <t>Total</t>
  </si>
  <si>
    <t>WOULD YOU LIKE TO ADD BOLTS &amp; SCREWS ?</t>
  </si>
  <si>
    <t>CLIMBING HOLDS</t>
  </si>
  <si>
    <t>X-SMALL</t>
  </si>
  <si>
    <t>THE ADDITIONAL COST IS:</t>
  </si>
  <si>
    <t>PLYWOOD VOLUMES</t>
  </si>
  <si>
    <t>SMALL</t>
  </si>
  <si>
    <t>HARDWARE</t>
  </si>
  <si>
    <t>MEDIUM</t>
  </si>
  <si>
    <t>Total:</t>
  </si>
  <si>
    <t>LARGE</t>
  </si>
  <si>
    <t>Total Weight</t>
  </si>
  <si>
    <t>X-LARGE</t>
  </si>
  <si>
    <t>BIGGER</t>
  </si>
  <si>
    <t>Retail prices without VAT 20%</t>
  </si>
  <si>
    <t>BOLTS</t>
  </si>
  <si>
    <t>SCREWS</t>
  </si>
  <si>
    <t>TOTAL SETS ORDERED</t>
  </si>
  <si>
    <t>BOLT AND SCREWS COST</t>
  </si>
  <si>
    <t>Standard colors</t>
  </si>
  <si>
    <t>Fluorescent colors</t>
  </si>
  <si>
    <t>NEW</t>
  </si>
  <si>
    <t>THIS IS AN ADDITIONAL COST</t>
  </si>
  <si>
    <t>NAME</t>
  </si>
  <si>
    <t xml:space="preserve"> No</t>
  </si>
  <si>
    <t>PRICE</t>
  </si>
  <si>
    <t>BLUE</t>
  </si>
  <si>
    <t>YELLOW</t>
  </si>
  <si>
    <t>RED</t>
  </si>
  <si>
    <t>GREEN</t>
  </si>
  <si>
    <t>ORANGE</t>
  </si>
  <si>
    <t>VIOLET</t>
  </si>
  <si>
    <t>LEAF GREEN</t>
  </si>
  <si>
    <t>GREY</t>
  </si>
  <si>
    <t>BLACK</t>
  </si>
  <si>
    <t>WHITE</t>
  </si>
  <si>
    <t>SETS</t>
  </si>
  <si>
    <t>PINK</t>
  </si>
  <si>
    <t>HOLDS</t>
  </si>
  <si>
    <t>WEIGHT</t>
  </si>
  <si>
    <t>SIZE</t>
  </si>
  <si>
    <t>NON FLUORESCENT</t>
  </si>
  <si>
    <t>FLUORESCENT</t>
  </si>
  <si>
    <t>TRANSLUCENT</t>
  </si>
  <si>
    <t>POLYESTER HOLDS-Retail prices without VAT 20%</t>
  </si>
  <si>
    <t>screw thickness(mm)</t>
  </si>
  <si>
    <r>
      <rPr>
        <u val="single"/>
        <sz val="12"/>
        <color indexed="8"/>
        <rFont val="Helvetica"/>
      </rPr>
      <t>ALIEN PINCHES</t>
    </r>
  </si>
  <si>
    <t>PINCHES</t>
  </si>
  <si>
    <t>N/A</t>
  </si>
  <si>
    <r>
      <rPr>
        <u val="single"/>
        <sz val="12"/>
        <color indexed="8"/>
        <rFont val="Helvetica"/>
      </rPr>
      <t>ANIMALS 1</t>
    </r>
    <r>
      <rPr>
        <sz val="12"/>
        <color indexed="8"/>
        <rFont val="Helvetica"/>
      </rPr>
      <t xml:space="preserve">  </t>
    </r>
    <r>
      <rPr>
        <b val="1"/>
        <sz val="12"/>
        <color indexed="17"/>
        <rFont val="Helvetica"/>
      </rPr>
      <t>NEW</t>
    </r>
  </si>
  <si>
    <t>JUGS</t>
  </si>
  <si>
    <r>
      <rPr>
        <u val="single"/>
        <sz val="12"/>
        <color indexed="8"/>
        <rFont val="Helvetica"/>
      </rPr>
      <t>BIGFOOTHOLDS PE</t>
    </r>
  </si>
  <si>
    <t>FOOTHOLDS</t>
  </si>
  <si>
    <r>
      <rPr>
        <u val="single"/>
        <sz val="12"/>
        <color indexed="8"/>
        <rFont val="Helvetica"/>
      </rPr>
      <t>CAMPUS POCKETS PE</t>
    </r>
  </si>
  <si>
    <t>TRAINING</t>
  </si>
  <si>
    <r>
      <rPr>
        <u val="single"/>
        <sz val="12"/>
        <color indexed="8"/>
        <rFont val="Helvetica"/>
      </rPr>
      <t>DROPLETS PE</t>
    </r>
  </si>
  <si>
    <r>
      <rPr>
        <sz val="12"/>
        <color indexed="8"/>
        <rFont val="Helvetica"/>
      </rPr>
      <t xml:space="preserve">DROPLETS BAREFOOTHOLDS </t>
    </r>
    <r>
      <rPr>
        <b val="1"/>
        <sz val="12"/>
        <color indexed="17"/>
        <rFont val="Helvetica"/>
      </rPr>
      <t>EXPECTED SOON</t>
    </r>
  </si>
  <si>
    <t>16</t>
  </si>
  <si>
    <t>-</t>
  </si>
  <si>
    <t>0</t>
  </si>
  <si>
    <r>
      <rPr>
        <sz val="12"/>
        <color indexed="8"/>
        <rFont val="Helvetica"/>
      </rPr>
      <t xml:space="preserve">DROPLETS LARGE JUGS </t>
    </r>
    <r>
      <rPr>
        <b val="1"/>
        <sz val="12"/>
        <color indexed="17"/>
        <rFont val="Helvetica"/>
      </rPr>
      <t>EXPECTED SOON</t>
    </r>
  </si>
  <si>
    <t>5</t>
  </si>
  <si>
    <r>
      <rPr>
        <u val="single"/>
        <sz val="12"/>
        <color indexed="8"/>
        <rFont val="Helvetica"/>
      </rPr>
      <t>EUCLID &amp; FIVE PUPILS</t>
    </r>
  </si>
  <si>
    <t>GEOMETRICS</t>
  </si>
  <si>
    <r>
      <rPr>
        <u val="single"/>
        <sz val="12"/>
        <color indexed="8"/>
        <rFont val="Helvetica"/>
      </rPr>
      <t>FOOTHOLDS BOLT-ONS</t>
    </r>
  </si>
  <si>
    <t>—</t>
  </si>
  <si>
    <r>
      <rPr>
        <u val="single"/>
        <sz val="12"/>
        <color indexed="8"/>
        <rFont val="Helvetica"/>
      </rPr>
      <t>HEMISPHERE 8 PE</t>
    </r>
  </si>
  <si>
    <r>
      <rPr>
        <u val="single"/>
        <sz val="12"/>
        <color indexed="8"/>
        <rFont val="Helvetica"/>
      </rPr>
      <t>HEMISPHERE 10 PE</t>
    </r>
  </si>
  <si>
    <r>
      <rPr>
        <u val="single"/>
        <sz val="12"/>
        <color indexed="8"/>
        <rFont val="Helvetica"/>
      </rPr>
      <t>HEMISPHERE 12 PE</t>
    </r>
  </si>
  <si>
    <r>
      <rPr>
        <u val="single"/>
        <sz val="12"/>
        <color indexed="8"/>
        <rFont val="Helvetica"/>
      </rPr>
      <t>HEMISPHERE 15 PE</t>
    </r>
  </si>
  <si>
    <r>
      <rPr>
        <u val="single"/>
        <sz val="12"/>
        <color indexed="8"/>
        <rFont val="Helvetica"/>
      </rPr>
      <t>JUGS BY DEFINITION 5* LARGE PE</t>
    </r>
  </si>
  <si>
    <r>
      <rPr>
        <u val="single"/>
        <sz val="12"/>
        <color indexed="8"/>
        <rFont val="Helvetica"/>
      </rPr>
      <t>JUGS BY DEFINITION 15*MEDIUM PE</t>
    </r>
  </si>
  <si>
    <r>
      <rPr>
        <u val="single"/>
        <sz val="12"/>
        <color indexed="8"/>
        <rFont val="Helvetica"/>
      </rPr>
      <t>JUG PACK</t>
    </r>
  </si>
  <si>
    <r>
      <rPr>
        <u val="single"/>
        <sz val="12"/>
        <color indexed="8"/>
        <rFont val="Helvetica"/>
      </rPr>
      <t>JUG PINCH PE</t>
    </r>
  </si>
  <si>
    <r>
      <rPr>
        <u val="single"/>
        <sz val="12"/>
        <color indexed="8"/>
        <rFont val="Helvetica"/>
      </rPr>
      <t>MATALA FOOTHOLDS</t>
    </r>
    <r>
      <rPr>
        <sz val="12"/>
        <color indexed="8"/>
        <rFont val="Helvetica"/>
      </rPr>
      <t xml:space="preserve">  PE </t>
    </r>
    <r>
      <rPr>
        <b val="1"/>
        <sz val="12"/>
        <color indexed="17"/>
        <rFont val="Helvetica"/>
      </rPr>
      <t>NEW</t>
    </r>
  </si>
  <si>
    <r>
      <rPr>
        <u val="single"/>
        <sz val="12"/>
        <color indexed="8"/>
        <rFont val="Helvetica"/>
      </rPr>
      <t>MATALA  MINI INCUTS PE</t>
    </r>
  </si>
  <si>
    <t>INCUTS</t>
  </si>
  <si>
    <r>
      <rPr>
        <u val="single"/>
        <sz val="12"/>
        <color indexed="8"/>
        <rFont val="Helvetica"/>
      </rPr>
      <t>MATALA MINI JUGS PE</t>
    </r>
  </si>
  <si>
    <r>
      <rPr>
        <u val="single"/>
        <sz val="12"/>
        <color indexed="8"/>
        <rFont val="Helvetica"/>
      </rPr>
      <t>MATALA MEDIUM JUGS PE</t>
    </r>
  </si>
  <si>
    <r>
      <rPr>
        <u val="single"/>
        <sz val="12"/>
        <color indexed="8"/>
        <rFont val="Helvetica"/>
      </rPr>
      <t>MATALA LARGE JUGS PE</t>
    </r>
  </si>
  <si>
    <r>
      <rPr>
        <u val="single"/>
        <sz val="12"/>
        <color indexed="8"/>
        <rFont val="Helvetica"/>
      </rPr>
      <t>MATALA X-LARGE JUGS PE</t>
    </r>
  </si>
  <si>
    <r>
      <rPr>
        <u val="single"/>
        <sz val="12"/>
        <color indexed="8"/>
        <rFont val="Helvetica"/>
      </rPr>
      <t>MATALA TOTEM PE</t>
    </r>
  </si>
  <si>
    <t>MIXED</t>
  </si>
  <si>
    <r>
      <rPr>
        <u val="single"/>
        <sz val="12"/>
        <color indexed="8"/>
        <rFont val="Helvetica"/>
      </rPr>
      <t>ON THE BEACH PE</t>
    </r>
  </si>
  <si>
    <r>
      <rPr>
        <sz val="12"/>
        <color indexed="8"/>
        <rFont val="Helvetica"/>
      </rPr>
      <t>PILLOW LAVAS-</t>
    </r>
    <r>
      <rPr>
        <u val="single"/>
        <sz val="12"/>
        <color indexed="8"/>
        <rFont val="Helvetica"/>
      </rPr>
      <t>PLAYGROUND PE</t>
    </r>
  </si>
  <si>
    <t>PLAYGROUND</t>
  </si>
  <si>
    <t>B</t>
  </si>
  <si>
    <r>
      <rPr>
        <u val="single"/>
        <sz val="12"/>
        <color indexed="8"/>
        <rFont val="Helvetica"/>
      </rPr>
      <t>PINCHES HOLLOW FRONT</t>
    </r>
  </si>
  <si>
    <r>
      <rPr>
        <u val="single"/>
        <sz val="12"/>
        <color indexed="8"/>
        <rFont val="Helvetica"/>
      </rPr>
      <t>SUPER JUG PE</t>
    </r>
  </si>
  <si>
    <r>
      <rPr>
        <u val="single"/>
        <sz val="12"/>
        <color indexed="8"/>
        <rFont val="Helvetica"/>
      </rPr>
      <t>PINCH THIS PE</t>
    </r>
  </si>
  <si>
    <r>
      <rPr>
        <u val="single"/>
        <sz val="12"/>
        <color indexed="8"/>
        <rFont val="Helvetica"/>
      </rPr>
      <t>PINCH THAT PE</t>
    </r>
  </si>
  <si>
    <r>
      <rPr>
        <u val="single"/>
        <sz val="12"/>
        <color indexed="8"/>
        <rFont val="Helvetica"/>
      </rPr>
      <t>ROCKWAY TRAINING PINCHES 6</t>
    </r>
  </si>
  <si>
    <r>
      <rPr>
        <u val="single"/>
        <sz val="12"/>
        <color indexed="8"/>
        <rFont val="Helvetica"/>
      </rPr>
      <t>SLOPERS MATALAS PE</t>
    </r>
  </si>
  <si>
    <t>SLOPERS</t>
  </si>
  <si>
    <r>
      <rPr>
        <u val="single"/>
        <sz val="12"/>
        <color indexed="8"/>
        <rFont val="Helvetica"/>
      </rPr>
      <t>SLOPERS POUR &amp; SIMPLE</t>
    </r>
  </si>
  <si>
    <r>
      <rPr>
        <u val="single"/>
        <sz val="12"/>
        <color indexed="8"/>
        <rFont val="Helvetica"/>
      </rPr>
      <t>THE PYTHAGOREANS PE</t>
    </r>
  </si>
  <si>
    <r>
      <rPr>
        <u val="single"/>
        <sz val="12"/>
        <color indexed="8"/>
        <rFont val="Helvetica"/>
      </rPr>
      <t>TOP PE</t>
    </r>
  </si>
  <si>
    <t>POLYURETHANE HOLDS-Retail prices without VAT 20%</t>
  </si>
  <si>
    <t>screw thickness     (mm)</t>
  </si>
  <si>
    <r>
      <rPr>
        <u val="single"/>
        <sz val="12"/>
        <color indexed="8"/>
        <rFont val="Helvetica"/>
      </rPr>
      <t>CAMPUS POCKETS PU</t>
    </r>
  </si>
  <si>
    <r>
      <rPr>
        <u val="single"/>
        <sz val="12"/>
        <color indexed="8"/>
        <rFont val="Helvetica"/>
      </rPr>
      <t>CAVEMAN TOOLS</t>
    </r>
    <r>
      <rPr>
        <sz val="12"/>
        <color indexed="8"/>
        <rFont val="Helvetica"/>
      </rPr>
      <t xml:space="preserve"> </t>
    </r>
    <r>
      <rPr>
        <b val="1"/>
        <sz val="12"/>
        <color indexed="17"/>
        <rFont val="Helvetica"/>
      </rPr>
      <t>NEW</t>
    </r>
  </si>
  <si>
    <t>EDGES</t>
  </si>
  <si>
    <r>
      <rPr>
        <u val="single"/>
        <sz val="12"/>
        <color indexed="8"/>
        <rFont val="Helvetica"/>
      </rPr>
      <t>FOOTHOLDS FOR PROS</t>
    </r>
  </si>
  <si>
    <r>
      <rPr>
        <u val="single"/>
        <sz val="12"/>
        <color indexed="8"/>
        <rFont val="Helvetica"/>
      </rPr>
      <t>FULL METAL ALCHEMIST PU</t>
    </r>
    <r>
      <rPr>
        <sz val="12"/>
        <color indexed="8"/>
        <rFont val="Helvetica"/>
      </rPr>
      <t xml:space="preserve"> </t>
    </r>
    <r>
      <rPr>
        <b val="1"/>
        <sz val="12"/>
        <color indexed="17"/>
        <rFont val="Helvetica"/>
      </rPr>
      <t>NEW</t>
    </r>
  </si>
  <si>
    <r>
      <rPr>
        <sz val="12"/>
        <color indexed="8"/>
        <rFont val="Helvetica"/>
      </rPr>
      <t xml:space="preserve">FULL METAL JACKET PU </t>
    </r>
    <r>
      <rPr>
        <b val="1"/>
        <sz val="12"/>
        <color indexed="17"/>
        <rFont val="Helvetica"/>
      </rPr>
      <t>EXPECTED SOON</t>
    </r>
  </si>
  <si>
    <r>
      <rPr>
        <u val="single"/>
        <sz val="12"/>
        <color indexed="8"/>
        <rFont val="Helvetica"/>
      </rPr>
      <t>FULL METAL PANIC PU</t>
    </r>
    <r>
      <rPr>
        <sz val="12"/>
        <color indexed="8"/>
        <rFont val="Helvetica"/>
      </rPr>
      <t xml:space="preserve"> </t>
    </r>
    <r>
      <rPr>
        <b val="1"/>
        <sz val="12"/>
        <color indexed="17"/>
        <rFont val="Helvetica"/>
      </rPr>
      <t>NEW</t>
    </r>
  </si>
  <si>
    <r>
      <rPr>
        <u val="single"/>
        <sz val="12"/>
        <color indexed="8"/>
        <rFont val="Helvetica"/>
      </rPr>
      <t>HEMISPHERE 10 PU</t>
    </r>
  </si>
  <si>
    <r>
      <rPr>
        <u val="single"/>
        <sz val="12"/>
        <color indexed="8"/>
        <rFont val="Helvetica"/>
      </rPr>
      <t>HEMISPHERE 15 PU</t>
    </r>
  </si>
  <si>
    <r>
      <rPr>
        <u val="single"/>
        <sz val="12"/>
        <color indexed="8"/>
        <rFont val="Helvetica"/>
      </rPr>
      <t>HONEY HANDLES</t>
    </r>
  </si>
  <si>
    <r>
      <rPr>
        <u val="single"/>
        <sz val="12"/>
        <color indexed="8"/>
        <rFont val="Helvetica"/>
      </rPr>
      <t>INCOMING EDGES PU</t>
    </r>
    <r>
      <rPr>
        <sz val="12"/>
        <color indexed="8"/>
        <rFont val="Helvetica"/>
      </rPr>
      <t xml:space="preserve"> </t>
    </r>
    <r>
      <rPr>
        <b val="1"/>
        <sz val="12"/>
        <color indexed="17"/>
        <rFont val="Helvetica"/>
      </rPr>
      <t>NEW</t>
    </r>
  </si>
  <si>
    <t>KING LEAR-EAR</t>
  </si>
  <si>
    <r>
      <rPr>
        <u val="single"/>
        <sz val="12"/>
        <color indexed="8"/>
        <rFont val="Helvetica"/>
      </rPr>
      <t>KLIMT PINCHES</t>
    </r>
  </si>
  <si>
    <r>
      <rPr>
        <u val="single"/>
        <sz val="12"/>
        <color indexed="8"/>
        <rFont val="Helvetica"/>
      </rPr>
      <t>KNEE LOCKER</t>
    </r>
  </si>
  <si>
    <r>
      <rPr>
        <u val="single"/>
        <sz val="12"/>
        <color indexed="8"/>
        <rFont val="Helvetica"/>
      </rPr>
      <t>NOTHING SILLY ABOUT JUG NORRIS</t>
    </r>
  </si>
  <si>
    <r>
      <rPr>
        <u val="single"/>
        <sz val="12"/>
        <color indexed="8"/>
        <rFont val="Helvetica"/>
      </rPr>
      <t>ON THE EDGE</t>
    </r>
  </si>
  <si>
    <r>
      <rPr>
        <sz val="12"/>
        <color indexed="8"/>
        <rFont val="Helvetica"/>
      </rPr>
      <t xml:space="preserve">RAIL 1 </t>
    </r>
    <r>
      <rPr>
        <b val="1"/>
        <sz val="12"/>
        <color indexed="17"/>
        <rFont val="Helvetica"/>
      </rPr>
      <t>NEW</t>
    </r>
  </si>
  <si>
    <r>
      <rPr>
        <sz val="12"/>
        <color indexed="8"/>
        <rFont val="Helvetica"/>
      </rPr>
      <t xml:space="preserve">RAIL 2 </t>
    </r>
    <r>
      <rPr>
        <b val="1"/>
        <sz val="12"/>
        <color indexed="17"/>
        <rFont val="Helvetica"/>
      </rPr>
      <t>NEW</t>
    </r>
  </si>
  <si>
    <r>
      <rPr>
        <u val="single"/>
        <sz val="12"/>
        <color indexed="8"/>
        <rFont val="Helvetica"/>
      </rPr>
      <t>RAIL 3</t>
    </r>
    <r>
      <rPr>
        <sz val="12"/>
        <color indexed="8"/>
        <rFont val="Helvetica"/>
      </rPr>
      <t xml:space="preserve"> </t>
    </r>
    <r>
      <rPr>
        <b val="1"/>
        <sz val="12"/>
        <color indexed="17"/>
        <rFont val="Helvetica"/>
      </rPr>
      <t>NEW</t>
    </r>
  </si>
  <si>
    <r>
      <rPr>
        <u val="single"/>
        <sz val="12"/>
        <color indexed="8"/>
        <rFont val="Helvetica"/>
      </rPr>
      <t>ROCKWAY PINCHES TWO SOLID PINCHES</t>
    </r>
  </si>
  <si>
    <r>
      <rPr>
        <u val="single"/>
        <sz val="12"/>
        <color indexed="8"/>
        <rFont val="Helvetica"/>
      </rPr>
      <t>ROCKWAY PINCHES ONE REDUCED PINCH</t>
    </r>
  </si>
  <si>
    <r>
      <rPr>
        <u val="single"/>
        <sz val="12"/>
        <color indexed="8"/>
        <rFont val="Helvetica"/>
      </rPr>
      <t>ROCKWAY CAMPUS</t>
    </r>
  </si>
  <si>
    <r>
      <rPr>
        <u val="single"/>
        <sz val="12"/>
        <color indexed="8"/>
        <rFont val="Helvetica"/>
      </rPr>
      <t>SKY ROCKETS-POCKETS</t>
    </r>
  </si>
  <si>
    <t>POCKETS</t>
  </si>
  <si>
    <r>
      <rPr>
        <u val="single"/>
        <sz val="12"/>
        <color indexed="8"/>
        <rFont val="Helvetica"/>
      </rPr>
      <t>SMOOTHIES</t>
    </r>
  </si>
  <si>
    <r>
      <rPr>
        <u val="single"/>
        <sz val="12"/>
        <color indexed="8"/>
        <rFont val="Helvetica"/>
      </rPr>
      <t>SWEETIES</t>
    </r>
  </si>
  <si>
    <r>
      <rPr>
        <u val="single"/>
        <sz val="12"/>
        <color indexed="8"/>
        <rFont val="Helvetica"/>
      </rPr>
      <t>SUPER JUG</t>
    </r>
  </si>
  <si>
    <r>
      <rPr>
        <u val="single"/>
        <sz val="12"/>
        <color indexed="8"/>
        <rFont val="Helvetica"/>
      </rPr>
      <t>SWITCHES</t>
    </r>
  </si>
  <si>
    <r>
      <rPr>
        <u val="single"/>
        <sz val="12"/>
        <color indexed="8"/>
        <rFont val="Helvetica"/>
      </rPr>
      <t>TOP</t>
    </r>
  </si>
  <si>
    <r>
      <rPr>
        <u val="single"/>
        <sz val="12"/>
        <color indexed="8"/>
        <rFont val="Helvetica"/>
      </rPr>
      <t>TRAINING BALLS</t>
    </r>
  </si>
  <si>
    <r>
      <rPr>
        <u val="single"/>
        <sz val="12"/>
        <color indexed="8"/>
        <rFont val="Helvetica"/>
      </rPr>
      <t>TRAINING PINS</t>
    </r>
  </si>
  <si>
    <r>
      <rPr>
        <u val="single"/>
        <sz val="12"/>
        <color indexed="8"/>
        <rFont val="Helvetica"/>
      </rPr>
      <t>T-SLOPER</t>
    </r>
  </si>
  <si>
    <r>
      <rPr>
        <u val="single"/>
        <sz val="12"/>
        <color indexed="8"/>
        <rFont val="Helvetica"/>
      </rPr>
      <t>6B</t>
    </r>
  </si>
  <si>
    <r>
      <rPr>
        <sz val="12"/>
        <color indexed="8"/>
        <rFont val="Helvetica"/>
      </rPr>
      <t xml:space="preserve">33 TO GO </t>
    </r>
    <r>
      <rPr>
        <b val="1"/>
        <sz val="12"/>
        <color indexed="17"/>
        <rFont val="Helvetica"/>
      </rPr>
      <t>EXPECTED SOON</t>
    </r>
  </si>
  <si>
    <r>
      <rPr>
        <sz val="12"/>
        <color indexed="8"/>
        <rFont val="Helvetica"/>
      </rPr>
      <t xml:space="preserve">34 TO GO </t>
    </r>
    <r>
      <rPr>
        <b val="1"/>
        <sz val="12"/>
        <color indexed="17"/>
        <rFont val="Helvetica"/>
      </rPr>
      <t>EXPECTED SOON</t>
    </r>
  </si>
  <si>
    <r>
      <rPr>
        <sz val="12"/>
        <color indexed="8"/>
        <rFont val="Helvetica"/>
      </rPr>
      <t xml:space="preserve">35 TO GO </t>
    </r>
    <r>
      <rPr>
        <b val="1"/>
        <sz val="12"/>
        <color indexed="17"/>
        <rFont val="Helvetica"/>
      </rPr>
      <t>EXPECTED SOON</t>
    </r>
  </si>
  <si>
    <r>
      <rPr>
        <sz val="12"/>
        <color indexed="8"/>
        <rFont val="Helvetica"/>
      </rPr>
      <t xml:space="preserve">36 TO GO </t>
    </r>
    <r>
      <rPr>
        <b val="1"/>
        <sz val="12"/>
        <color indexed="17"/>
        <rFont val="Helvetica"/>
      </rPr>
      <t>EXPECTED SOON</t>
    </r>
  </si>
  <si>
    <r>
      <rPr>
        <sz val="12"/>
        <color indexed="8"/>
        <rFont val="Helvetica"/>
      </rPr>
      <t xml:space="preserve">37 TO GO </t>
    </r>
    <r>
      <rPr>
        <b val="1"/>
        <sz val="12"/>
        <color indexed="17"/>
        <rFont val="Helvetica"/>
      </rPr>
      <t>EXPECTED SOON</t>
    </r>
  </si>
  <si>
    <r>
      <rPr>
        <sz val="12"/>
        <color indexed="8"/>
        <rFont val="Helvetica"/>
      </rPr>
      <t xml:space="preserve">38 TO GO </t>
    </r>
    <r>
      <rPr>
        <b val="1"/>
        <sz val="12"/>
        <color indexed="17"/>
        <rFont val="Helvetica"/>
      </rPr>
      <t>EXPECTED SOON</t>
    </r>
  </si>
  <si>
    <r>
      <rPr>
        <u val="single"/>
        <sz val="12"/>
        <color indexed="8"/>
        <rFont val="Helvetica"/>
      </rPr>
      <t>39 TO GO</t>
    </r>
    <r>
      <rPr>
        <sz val="12"/>
        <color indexed="8"/>
        <rFont val="Helvetica"/>
      </rPr>
      <t xml:space="preserve"> </t>
    </r>
    <r>
      <rPr>
        <b val="1"/>
        <sz val="12"/>
        <color indexed="17"/>
        <rFont val="Helvetica"/>
      </rPr>
      <t>NEW</t>
    </r>
  </si>
  <si>
    <r>
      <rPr>
        <sz val="12"/>
        <color indexed="8"/>
        <rFont val="Helvetica"/>
      </rPr>
      <t xml:space="preserve">40 TO GO </t>
    </r>
    <r>
      <rPr>
        <b val="1"/>
        <sz val="12"/>
        <color indexed="17"/>
        <rFont val="Helvetica"/>
      </rPr>
      <t>NEW</t>
    </r>
  </si>
  <si>
    <r>
      <rPr>
        <u val="single"/>
        <sz val="12"/>
        <color indexed="8"/>
        <rFont val="Helvetica"/>
      </rPr>
      <t>41 TO GO</t>
    </r>
    <r>
      <rPr>
        <sz val="12"/>
        <color indexed="8"/>
        <rFont val="Helvetica"/>
      </rPr>
      <t xml:space="preserve"> </t>
    </r>
    <r>
      <rPr>
        <b val="1"/>
        <sz val="12"/>
        <color indexed="17"/>
        <rFont val="Helvetica"/>
      </rPr>
      <t>NEW</t>
    </r>
  </si>
  <si>
    <r>
      <rPr>
        <u val="single"/>
        <sz val="12"/>
        <color indexed="8"/>
        <rFont val="Helvetica"/>
      </rPr>
      <t>42 TO GO</t>
    </r>
    <r>
      <rPr>
        <sz val="12"/>
        <color indexed="8"/>
        <rFont val="Helvetica"/>
      </rPr>
      <t xml:space="preserve"> </t>
    </r>
    <r>
      <rPr>
        <b val="1"/>
        <sz val="12"/>
        <color indexed="17"/>
        <rFont val="Helvetica"/>
      </rPr>
      <t>NEW</t>
    </r>
  </si>
  <si>
    <r>
      <rPr>
        <sz val="12"/>
        <color indexed="8"/>
        <rFont val="Helvetica"/>
      </rPr>
      <t xml:space="preserve">43 TO GO </t>
    </r>
    <r>
      <rPr>
        <b val="1"/>
        <sz val="12"/>
        <color indexed="17"/>
        <rFont val="Helvetica"/>
      </rPr>
      <t>NEW</t>
    </r>
  </si>
  <si>
    <r>
      <rPr>
        <u val="single"/>
        <sz val="12"/>
        <color indexed="8"/>
        <rFont val="Helvetica"/>
      </rPr>
      <t>44 TO GO</t>
    </r>
    <r>
      <rPr>
        <sz val="12"/>
        <color indexed="8"/>
        <rFont val="Helvetica"/>
      </rPr>
      <t xml:space="preserve"> </t>
    </r>
    <r>
      <rPr>
        <b val="1"/>
        <sz val="12"/>
        <color indexed="17"/>
        <rFont val="Helvetica"/>
      </rPr>
      <t>NEW</t>
    </r>
  </si>
  <si>
    <r>
      <rPr>
        <u val="single"/>
        <sz val="12"/>
        <color indexed="8"/>
        <rFont val="Helvetica"/>
      </rPr>
      <t>45 TO GO</t>
    </r>
    <r>
      <rPr>
        <sz val="12"/>
        <color indexed="8"/>
        <rFont val="Helvetica"/>
      </rPr>
      <t xml:space="preserve">  </t>
    </r>
    <r>
      <rPr>
        <b val="1"/>
        <sz val="12"/>
        <color indexed="11"/>
        <rFont val="Helvetica"/>
      </rPr>
      <t>NEW</t>
    </r>
  </si>
  <si>
    <r>
      <rPr>
        <sz val="12"/>
        <color indexed="8"/>
        <rFont val="Helvetica"/>
      </rPr>
      <t xml:space="preserve">46 TO GO </t>
    </r>
    <r>
      <rPr>
        <b val="1"/>
        <sz val="12"/>
        <color indexed="17"/>
        <rFont val="Helvetica"/>
      </rPr>
      <t>NEW</t>
    </r>
  </si>
  <si>
    <r>
      <rPr>
        <sz val="12"/>
        <color indexed="8"/>
        <rFont val="Helvetica"/>
      </rPr>
      <t xml:space="preserve">48 &amp; 47 TO GO </t>
    </r>
    <r>
      <rPr>
        <b val="1"/>
        <sz val="12"/>
        <color indexed="17"/>
        <rFont val="Helvetica"/>
      </rPr>
      <t>NEW</t>
    </r>
  </si>
  <si>
    <r>
      <rPr>
        <u val="single"/>
        <sz val="12"/>
        <color indexed="8"/>
        <rFont val="Helvetica"/>
      </rPr>
      <t>49 TO GO PU</t>
    </r>
  </si>
  <si>
    <r>
      <rPr>
        <sz val="12"/>
        <color indexed="8"/>
        <rFont val="Helvetica"/>
      </rPr>
      <t xml:space="preserve">THE DORIANS </t>
    </r>
    <r>
      <rPr>
        <b val="1"/>
        <sz val="12"/>
        <color indexed="17"/>
        <rFont val="Helvetica"/>
      </rPr>
      <t>NEW</t>
    </r>
  </si>
  <si>
    <r>
      <rPr>
        <u val="single"/>
        <sz val="12"/>
        <color indexed="8"/>
        <rFont val="Helvetica"/>
      </rPr>
      <t>SPEED CLIMBING 10 METRES</t>
    </r>
    <r>
      <rPr>
        <sz val="12"/>
        <color indexed="8"/>
        <rFont val="Helvetica"/>
      </rPr>
      <t xml:space="preserve"> </t>
    </r>
    <r>
      <rPr>
        <b val="1"/>
        <sz val="12"/>
        <color indexed="17"/>
        <rFont val="Helvetica"/>
      </rPr>
      <t>DANNOLITE</t>
    </r>
  </si>
  <si>
    <t>SPEED</t>
  </si>
  <si>
    <r>
      <rPr>
        <u val="single"/>
        <sz val="12"/>
        <color indexed="8"/>
        <rFont val="Helvetica"/>
      </rPr>
      <t>SPEED CLIMBING 15 METRES</t>
    </r>
    <r>
      <rPr>
        <sz val="12"/>
        <color indexed="8"/>
        <rFont val="Helvetica"/>
      </rPr>
      <t xml:space="preserve"> </t>
    </r>
    <r>
      <rPr>
        <b val="1"/>
        <sz val="12"/>
        <color indexed="17"/>
        <rFont val="Helvetica"/>
      </rPr>
      <t>DANNOLITE</t>
    </r>
  </si>
  <si>
    <r>
      <rPr>
        <u val="single"/>
        <sz val="12"/>
        <color indexed="8"/>
        <rFont val="Helvetica"/>
      </rPr>
      <t>SPEED CLIMBING 10 METRES</t>
    </r>
    <r>
      <rPr>
        <sz val="12"/>
        <color indexed="8"/>
        <rFont val="Helvetica"/>
      </rPr>
      <t xml:space="preserve"> </t>
    </r>
    <r>
      <rPr>
        <b val="1"/>
        <sz val="12"/>
        <color indexed="17"/>
        <rFont val="Helvetica"/>
      </rPr>
      <t>DANNOMOND</t>
    </r>
  </si>
  <si>
    <r>
      <rPr>
        <u val="single"/>
        <sz val="12"/>
        <color indexed="8"/>
        <rFont val="Helvetica"/>
      </rPr>
      <t>SPEED CLIMBING 15 METRES</t>
    </r>
    <r>
      <rPr>
        <sz val="12"/>
        <color indexed="8"/>
        <rFont val="Helvetica"/>
      </rPr>
      <t xml:space="preserve"> </t>
    </r>
    <r>
      <rPr>
        <b val="1"/>
        <sz val="12"/>
        <color indexed="17"/>
        <rFont val="Helvetica"/>
      </rPr>
      <t>DANNOMOND</t>
    </r>
  </si>
  <si>
    <t>For all Fluorescent colors the is an additional 4% cost.</t>
  </si>
  <si>
    <t>Sub Total:</t>
  </si>
  <si>
    <t>Plywood Volumes - Retail prices without VAT 20%</t>
  </si>
  <si>
    <t>COLORS</t>
  </si>
  <si>
    <t>Volumes</t>
  </si>
  <si>
    <t>Cost</t>
  </si>
  <si>
    <t xml:space="preserve">Name </t>
  </si>
  <si>
    <t>DIMENTIONS</t>
  </si>
  <si>
    <t>T-NUTS</t>
  </si>
  <si>
    <t>Price</t>
  </si>
  <si>
    <t>Yellow RAL 1018</t>
  </si>
  <si>
    <t>Orange RAL 2003</t>
  </si>
  <si>
    <t>Brown RAL 8004</t>
  </si>
  <si>
    <t>Red RAL 3020</t>
  </si>
  <si>
    <t xml:space="preserve">Violet RAL 4005 </t>
  </si>
  <si>
    <t>Blue RAL 5015</t>
  </si>
  <si>
    <t>Green RAL 6018</t>
  </si>
  <si>
    <t>Grey RAL 7001</t>
  </si>
  <si>
    <t>Black RAL 9005</t>
  </si>
  <si>
    <t>Off-White RAL 9003</t>
  </si>
  <si>
    <t>Turquoise RAL 5018</t>
  </si>
  <si>
    <r>
      <rPr>
        <b val="1"/>
        <u val="single"/>
        <sz val="9"/>
        <color indexed="53"/>
        <rFont val="Tahoma"/>
      </rPr>
      <t>Crystal Volume 1</t>
    </r>
  </si>
  <si>
    <t>29-37-109</t>
  </si>
  <si>
    <r>
      <rPr>
        <b val="1"/>
        <u val="single"/>
        <sz val="9"/>
        <color indexed="53"/>
        <rFont val="Tahoma"/>
      </rPr>
      <t>Crystal Volume 2</t>
    </r>
  </si>
  <si>
    <t>24-43-104</t>
  </si>
  <si>
    <r>
      <rPr>
        <b val="1"/>
        <u val="single"/>
        <sz val="9"/>
        <color indexed="53"/>
        <rFont val="Tahoma"/>
      </rPr>
      <t>Crystal Volume 3</t>
    </r>
  </si>
  <si>
    <t>32-45-105</t>
  </si>
  <si>
    <r>
      <rPr>
        <b val="1"/>
        <u val="single"/>
        <sz val="9"/>
        <color indexed="53"/>
        <rFont val="Tahoma"/>
      </rPr>
      <t>Crystal Volume 4</t>
    </r>
  </si>
  <si>
    <t>18-30-65</t>
  </si>
  <si>
    <r>
      <rPr>
        <b val="1"/>
        <u val="single"/>
        <sz val="9"/>
        <color indexed="53"/>
        <rFont val="Tahoma"/>
      </rPr>
      <t>Crystal Volume 5</t>
    </r>
  </si>
  <si>
    <t>16-55-56</t>
  </si>
  <si>
    <r>
      <rPr>
        <b val="1"/>
        <u val="single"/>
        <sz val="9"/>
        <color indexed="53"/>
        <rFont val="Tahoma"/>
      </rPr>
      <t>Crystal Volume 6</t>
    </r>
  </si>
  <si>
    <t>13-52-74</t>
  </si>
  <si>
    <r>
      <rPr>
        <b val="1"/>
        <u val="single"/>
        <sz val="9"/>
        <color indexed="53"/>
        <rFont val="Tahoma"/>
      </rPr>
      <t>Crystal Volume 7</t>
    </r>
  </si>
  <si>
    <t>18-59-94</t>
  </si>
  <si>
    <r>
      <rPr>
        <b val="1"/>
        <u val="single"/>
        <sz val="9"/>
        <color indexed="53"/>
        <rFont val="Tahoma"/>
      </rPr>
      <t>ONYX - BOLT-ON</t>
    </r>
  </si>
  <si>
    <t>40-35-16</t>
  </si>
  <si>
    <r>
      <rPr>
        <b val="1"/>
        <u val="single"/>
        <sz val="11"/>
        <color indexed="53"/>
        <rFont val="Calibri"/>
      </rPr>
      <t>ONYX - SCREW-ON</t>
    </r>
  </si>
  <si>
    <r>
      <rPr>
        <b val="1"/>
        <u val="single"/>
        <sz val="9"/>
        <color indexed="53"/>
        <rFont val="Tahoma"/>
      </rPr>
      <t>SAPPHIRE - BOLT-ON</t>
    </r>
  </si>
  <si>
    <t>44-42-14</t>
  </si>
  <si>
    <r>
      <rPr>
        <b val="1"/>
        <u val="single"/>
        <sz val="9"/>
        <color indexed="53"/>
        <rFont val="Tahoma"/>
      </rPr>
      <t>SAPPHIRE - SCREW-ON</t>
    </r>
  </si>
  <si>
    <r>
      <rPr>
        <b val="1"/>
        <u val="single"/>
        <sz val="9"/>
        <color indexed="53"/>
        <rFont val="Tahoma"/>
      </rPr>
      <t>EMERALD - BOLT-ON</t>
    </r>
  </si>
  <si>
    <t>26-23-9</t>
  </si>
  <si>
    <r>
      <rPr>
        <b val="1"/>
        <u val="single"/>
        <sz val="9"/>
        <color indexed="53"/>
        <rFont val="Tahoma"/>
      </rPr>
      <t>EMERALD - SCREW-ON</t>
    </r>
  </si>
  <si>
    <r>
      <rPr>
        <b val="1"/>
        <u val="single"/>
        <sz val="9"/>
        <color indexed="53"/>
        <rFont val="Tahoma"/>
      </rPr>
      <t>RUBY - BOLT-ON</t>
    </r>
  </si>
  <si>
    <t>43-11</t>
  </si>
  <si>
    <t>RUBY - SCREW-ON</t>
  </si>
  <si>
    <r>
      <rPr>
        <b val="1"/>
        <u val="single"/>
        <sz val="9"/>
        <color indexed="53"/>
        <rFont val="Tahoma"/>
      </rPr>
      <t>OPAL - BOLT-ON</t>
    </r>
  </si>
  <si>
    <t>44-42-7</t>
  </si>
  <si>
    <t>OPAL - SCREW-ON</t>
  </si>
  <si>
    <r>
      <rPr>
        <b val="1"/>
        <u val="single"/>
        <sz val="9"/>
        <color indexed="53"/>
        <rFont val="Tahoma"/>
      </rPr>
      <t>TURQUOISE - BOLT-ON</t>
    </r>
  </si>
  <si>
    <t>43-22-8</t>
  </si>
  <si>
    <r>
      <rPr>
        <b val="1"/>
        <u val="single"/>
        <sz val="9"/>
        <color indexed="53"/>
        <rFont val="Tahoma"/>
      </rPr>
      <t>TURQUOISE - SCREW-ON</t>
    </r>
  </si>
  <si>
    <r>
      <rPr>
        <b val="1"/>
        <u val="single"/>
        <sz val="9"/>
        <color indexed="53"/>
        <rFont val="Tahoma"/>
      </rPr>
      <t>BERYL - BOLT-ON</t>
    </r>
  </si>
  <si>
    <t>38-33-9</t>
  </si>
  <si>
    <r>
      <rPr>
        <b val="1"/>
        <u val="single"/>
        <sz val="9"/>
        <color indexed="53"/>
        <rFont val="Tahoma"/>
      </rPr>
      <t>BERYL - SCREW-ON</t>
    </r>
  </si>
  <si>
    <r>
      <rPr>
        <b val="1"/>
        <u val="single"/>
        <sz val="9"/>
        <color indexed="53"/>
        <rFont val="Tahoma"/>
      </rPr>
      <t>TOPAZ - BOLT-ON</t>
    </r>
  </si>
  <si>
    <t>44-26-9</t>
  </si>
  <si>
    <r>
      <rPr>
        <b val="1"/>
        <u val="single"/>
        <sz val="9"/>
        <color indexed="53"/>
        <rFont val="Tahoma"/>
      </rPr>
      <t>TOPAZ - SCREW-ON</t>
    </r>
  </si>
  <si>
    <r>
      <rPr>
        <b val="1"/>
        <u val="single"/>
        <sz val="9"/>
        <color indexed="53"/>
        <rFont val="Tahoma"/>
      </rPr>
      <t>AMETHYST - SCREW-ON</t>
    </r>
  </si>
  <si>
    <t>43-23-10</t>
  </si>
  <si>
    <r>
      <rPr>
        <b val="1"/>
        <u val="single"/>
        <sz val="9"/>
        <color indexed="53"/>
        <rFont val="Tahoma"/>
      </rPr>
      <t>OBSIDIAN - SCREW-ON</t>
    </r>
  </si>
  <si>
    <t>35-35-10</t>
  </si>
  <si>
    <r>
      <rPr>
        <b val="1"/>
        <u val="single"/>
        <sz val="9"/>
        <color indexed="53"/>
        <rFont val="Tahoma"/>
      </rPr>
      <t>PYRAMIT MODULAR 1</t>
    </r>
  </si>
  <si>
    <t>80-30-30</t>
  </si>
  <si>
    <r>
      <rPr>
        <b val="1"/>
        <u val="single"/>
        <sz val="9"/>
        <color indexed="53"/>
        <rFont val="Tahoma"/>
      </rPr>
      <t>PYRAMIT MODULAR 2</t>
    </r>
  </si>
  <si>
    <t>60-30-30</t>
  </si>
  <si>
    <r>
      <rPr>
        <b val="1"/>
        <u val="single"/>
        <sz val="9"/>
        <color indexed="53"/>
        <rFont val="Tahoma"/>
      </rPr>
      <t>PYRAMIT MODULAR 3</t>
    </r>
  </si>
  <si>
    <r>
      <rPr>
        <b val="1"/>
        <u val="single"/>
        <sz val="9"/>
        <color indexed="53"/>
        <rFont val="Tahoma"/>
      </rPr>
      <t>PYRAMIT MODULAR 4</t>
    </r>
  </si>
  <si>
    <r>
      <rPr>
        <b val="1"/>
        <u val="single"/>
        <sz val="9"/>
        <color indexed="53"/>
        <rFont val="Tahoma"/>
      </rPr>
      <t>PYRAMIT MODULAR 5</t>
    </r>
  </si>
  <si>
    <r>
      <rPr>
        <b val="1"/>
        <u val="single"/>
        <sz val="9"/>
        <color indexed="53"/>
        <rFont val="Tahoma"/>
      </rPr>
      <t>PYRAMIT MODULAR 6</t>
    </r>
  </si>
  <si>
    <t>60-45-30</t>
  </si>
  <si>
    <r>
      <rPr>
        <b val="1"/>
        <u val="single"/>
        <sz val="9"/>
        <color indexed="53"/>
        <rFont val="Tahoma"/>
      </rPr>
      <t>PYRAMIT MODULAR 1 - BOLT-ON</t>
    </r>
  </si>
  <si>
    <r>
      <rPr>
        <b val="1"/>
        <u val="single"/>
        <sz val="9"/>
        <color indexed="53"/>
        <rFont val="Tahoma"/>
      </rPr>
      <t>PYRAMIT MODULAR 2 – BOLT-ON</t>
    </r>
  </si>
  <si>
    <r>
      <rPr>
        <b val="1"/>
        <u val="single"/>
        <sz val="9"/>
        <color indexed="53"/>
        <rFont val="Tahoma"/>
      </rPr>
      <t>PYRAMIT MODULAR 3 – BOLT-ON</t>
    </r>
  </si>
  <si>
    <r>
      <rPr>
        <b val="1"/>
        <u val="single"/>
        <sz val="9"/>
        <color indexed="53"/>
        <rFont val="Tahoma"/>
      </rPr>
      <t>PYRAMIT MODULAR 4 – BOLT-ON</t>
    </r>
  </si>
  <si>
    <r>
      <rPr>
        <b val="1"/>
        <u val="single"/>
        <sz val="9"/>
        <color indexed="53"/>
        <rFont val="Tahoma"/>
      </rPr>
      <t>PYRAMIT MODULAR 5 – BOLT-ON</t>
    </r>
  </si>
  <si>
    <r>
      <rPr>
        <b val="1"/>
        <u val="single"/>
        <sz val="9"/>
        <color indexed="53"/>
        <rFont val="Tahoma"/>
      </rPr>
      <t>PYRAMIT MODULAR 6 – BOLT-ON</t>
    </r>
  </si>
  <si>
    <r>
      <rPr>
        <b val="1"/>
        <u val="single"/>
        <sz val="9"/>
        <color indexed="53"/>
        <rFont val="Tahoma"/>
      </rPr>
      <t>PYRAMIT UNIQUE 1</t>
    </r>
  </si>
  <si>
    <t>120-40-25</t>
  </si>
  <si>
    <r>
      <rPr>
        <b val="1"/>
        <u val="single"/>
        <sz val="9"/>
        <color indexed="53"/>
        <rFont val="Tahoma"/>
      </rPr>
      <t>PYRAMIT UNIQUE 2</t>
    </r>
  </si>
  <si>
    <t>80-76-20</t>
  </si>
  <si>
    <r>
      <rPr>
        <b val="1"/>
        <u val="single"/>
        <sz val="9"/>
        <color indexed="53"/>
        <rFont val="Tahoma"/>
      </rPr>
      <t>PYRAMIT UNIQUE 3</t>
    </r>
  </si>
  <si>
    <t>77-47-25</t>
  </si>
  <si>
    <r>
      <rPr>
        <b val="1"/>
        <u val="single"/>
        <sz val="9"/>
        <color indexed="53"/>
        <rFont val="Tahoma"/>
      </rPr>
      <t>PYRAMIT UNIQUE 4</t>
    </r>
  </si>
  <si>
    <t>115-100-40</t>
  </si>
  <si>
    <r>
      <rPr>
        <b val="1"/>
        <u val="single"/>
        <sz val="9"/>
        <color indexed="53"/>
        <rFont val="Tahoma"/>
      </rPr>
      <t>PYRAMIT UNIQUE 5</t>
    </r>
  </si>
  <si>
    <t>152-90-23</t>
  </si>
  <si>
    <r>
      <rPr>
        <b val="1"/>
        <u val="single"/>
        <sz val="9"/>
        <color indexed="53"/>
        <rFont val="Tahoma"/>
      </rPr>
      <t>PYRAMIT UNIQUE 6</t>
    </r>
  </si>
  <si>
    <t>153-80-30</t>
  </si>
  <si>
    <r>
      <rPr>
        <b val="1"/>
        <u val="single"/>
        <sz val="9"/>
        <color indexed="53"/>
        <rFont val="Tahoma"/>
      </rPr>
      <t>PYRAMIT UNIQUE 7</t>
    </r>
  </si>
  <si>
    <t>187-85-30</t>
  </si>
  <si>
    <r>
      <rPr>
        <b val="1"/>
        <u val="single"/>
        <sz val="9"/>
        <color indexed="53"/>
        <rFont val="Tahoma"/>
      </rPr>
      <t>PYRAMIT UNIQUE 1 – BOLT-ON</t>
    </r>
  </si>
  <si>
    <r>
      <rPr>
        <b val="1"/>
        <u val="single"/>
        <sz val="9"/>
        <color indexed="53"/>
        <rFont val="Tahoma"/>
      </rPr>
      <t>PYRAMIT UNIQUE 2 – BOLT-ON</t>
    </r>
  </si>
  <si>
    <r>
      <rPr>
        <b val="1"/>
        <u val="single"/>
        <sz val="9"/>
        <color indexed="53"/>
        <rFont val="Tahoma"/>
      </rPr>
      <t>PYRAMIT UNIQUE 3 – BOLT-ON</t>
    </r>
  </si>
  <si>
    <r>
      <rPr>
        <b val="1"/>
        <u val="single"/>
        <sz val="9"/>
        <color indexed="53"/>
        <rFont val="Tahoma"/>
      </rPr>
      <t>PYRAMIT UNIQUE 4 – BOLT-ON</t>
    </r>
  </si>
  <si>
    <r>
      <rPr>
        <b val="1"/>
        <u val="single"/>
        <sz val="9"/>
        <color indexed="53"/>
        <rFont val="Tahoma"/>
      </rPr>
      <t>PYRAMIT UNIQUE 5 – BOLT-ON</t>
    </r>
  </si>
  <si>
    <r>
      <rPr>
        <b val="1"/>
        <u val="single"/>
        <sz val="9"/>
        <color indexed="53"/>
        <rFont val="Tahoma"/>
      </rPr>
      <t>PYRAMIT UNIQUE 6 – BOLT-ON</t>
    </r>
  </si>
  <si>
    <r>
      <rPr>
        <b val="1"/>
        <u val="single"/>
        <sz val="9"/>
        <color indexed="53"/>
        <rFont val="Tahoma"/>
      </rPr>
      <t>PYRAMIT UNIQUE 7 – BOLT-ON</t>
    </r>
  </si>
  <si>
    <t>TOTAL</t>
  </si>
  <si>
    <t>COST PER ITEM</t>
  </si>
  <si>
    <t>M10 CAP HEAD BOLTS</t>
  </si>
  <si>
    <t>M10 COUNTERSUNK BOLT</t>
  </si>
  <si>
    <t>4MM SCREWS          FOR WOOD</t>
  </si>
  <si>
    <t>5MM SCREWS FOR WOOD</t>
  </si>
  <si>
    <t>6MM SCREWS          FOR WOOD</t>
  </si>
  <si>
    <t>0,51</t>
  </si>
  <si>
    <t>0,61</t>
  </si>
  <si>
    <t>0,77</t>
  </si>
  <si>
    <t>0,91</t>
  </si>
  <si>
    <t>T-NUT 13 mm</t>
  </si>
  <si>
    <t>SQUARE PLATE NUT</t>
  </si>
  <si>
    <t>PLACE YOUR ORDER BELOW</t>
  </si>
  <si>
    <t xml:space="preserve">ORDERING FORM - PLEASE FILL IN THE QUANTITY YOU NEED </t>
  </si>
  <si>
    <t>TOTAL COST: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</si>
</sst>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#,##0.00&quot; &quot;[$€-2]"/>
    <numFmt numFmtId="60" formatCode="#,###&quot;  kg&quot;"/>
    <numFmt numFmtId="61" formatCode="#,##0.00&quot; &quot;[$€-2];&quot;-&quot;#,##0.00&quot; &quot;[$€-2]"/>
    <numFmt numFmtId="62" formatCode="[$€-2]0.0"/>
    <numFmt numFmtId="63" formatCode="[$€-2]#,##0.0"/>
  </numFmts>
  <fonts count="35">
    <font>
      <sz val="10"/>
      <color indexed="8"/>
      <name val="Helvetica"/>
    </font>
    <font>
      <sz val="12"/>
      <color indexed="8"/>
      <name val="Helvetica"/>
    </font>
    <font>
      <sz val="13"/>
      <color indexed="8"/>
      <name val="Helvetica"/>
    </font>
    <font>
      <b val="1"/>
      <sz val="63"/>
      <color indexed="8"/>
      <name val="Arial"/>
    </font>
    <font>
      <sz val="11"/>
      <color indexed="8"/>
      <name val="Calibri"/>
    </font>
    <font>
      <b val="1"/>
      <sz val="11"/>
      <color indexed="8"/>
      <name val="Arial"/>
    </font>
    <font>
      <b val="1"/>
      <sz val="10"/>
      <color indexed="8"/>
      <name val="Arial"/>
    </font>
    <font>
      <sz val="11"/>
      <color indexed="8"/>
      <name val="Arial"/>
    </font>
    <font>
      <b val="1"/>
      <sz val="8"/>
      <color indexed="8"/>
      <name val="Arial"/>
    </font>
    <font>
      <b val="1"/>
      <sz val="11"/>
      <color indexed="11"/>
      <name val="Arial"/>
    </font>
    <font>
      <b val="1"/>
      <sz val="12"/>
      <color indexed="8"/>
      <name val="Arial"/>
    </font>
    <font>
      <sz val="10"/>
      <color indexed="8"/>
      <name val="Arial"/>
    </font>
    <font>
      <b val="1"/>
      <sz val="18"/>
      <color indexed="8"/>
      <name val="Calibri"/>
    </font>
    <font>
      <b val="1"/>
      <sz val="12"/>
      <color indexed="8"/>
      <name val="Calibri"/>
    </font>
    <font>
      <b val="1"/>
      <sz val="11"/>
      <color indexed="8"/>
      <name val="Calibri"/>
    </font>
    <font>
      <b val="1"/>
      <sz val="27"/>
      <color indexed="8"/>
      <name val="Arial"/>
    </font>
    <font>
      <b val="1"/>
      <sz val="32"/>
      <color indexed="17"/>
      <name val="Arial"/>
    </font>
    <font>
      <b val="1"/>
      <sz val="9"/>
      <color indexed="11"/>
      <name val="Calibri"/>
    </font>
    <font>
      <b val="1"/>
      <sz val="8"/>
      <color indexed="9"/>
      <name val="Arial"/>
    </font>
    <font>
      <b val="1"/>
      <sz val="10"/>
      <color indexed="8"/>
      <name val="Helvetica"/>
    </font>
    <font>
      <b val="1"/>
      <sz val="18"/>
      <color indexed="8"/>
      <name val="Arial"/>
    </font>
    <font>
      <b val="1"/>
      <sz val="9"/>
      <color indexed="8"/>
      <name val="Arial"/>
    </font>
    <font>
      <b val="1"/>
      <sz val="14"/>
      <color indexed="17"/>
      <name val="Arial"/>
    </font>
    <font>
      <u val="single"/>
      <sz val="12"/>
      <color indexed="8"/>
      <name val="Helvetica"/>
    </font>
    <font>
      <b val="1"/>
      <sz val="12"/>
      <color indexed="17"/>
      <name val="Helvetica"/>
    </font>
    <font>
      <sz val="12"/>
      <color indexed="8"/>
      <name val="Calibri"/>
    </font>
    <font>
      <b val="1"/>
      <sz val="12"/>
      <color indexed="11"/>
      <name val="Helvetica"/>
    </font>
    <font>
      <sz val="9"/>
      <color indexed="8"/>
      <name val="Helvetica"/>
    </font>
    <font>
      <b val="1"/>
      <sz val="10"/>
      <color indexed="9"/>
      <name val="Arial"/>
    </font>
    <font>
      <b val="1"/>
      <sz val="9"/>
      <color indexed="53"/>
      <name val="Tahoma"/>
    </font>
    <font>
      <b val="1"/>
      <u val="single"/>
      <sz val="9"/>
      <color indexed="53"/>
      <name val="Tahoma"/>
    </font>
    <font>
      <sz val="11"/>
      <color indexed="53"/>
      <name val="Calibri"/>
    </font>
    <font>
      <b val="1"/>
      <u val="single"/>
      <sz val="11"/>
      <color indexed="53"/>
      <name val="Calibri"/>
    </font>
    <font>
      <u val="single"/>
      <sz val="10"/>
      <color indexed="8"/>
      <name val="Helvetica"/>
    </font>
    <font>
      <b val="1"/>
      <sz val="19"/>
      <color indexed="8"/>
      <name val="Arial"/>
    </font>
  </fonts>
  <fills count="5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28"/>
        <bgColor auto="1"/>
      </patternFill>
    </fill>
    <fill>
      <patternFill patternType="solid">
        <fgColor indexed="29"/>
        <bgColor auto="1"/>
      </patternFill>
    </fill>
    <fill>
      <patternFill patternType="solid">
        <fgColor indexed="30"/>
        <bgColor auto="1"/>
      </patternFill>
    </fill>
    <fill>
      <patternFill patternType="solid">
        <fgColor indexed="31"/>
        <bgColor auto="1"/>
      </patternFill>
    </fill>
    <fill>
      <patternFill patternType="solid">
        <fgColor indexed="32"/>
        <bgColor auto="1"/>
      </patternFill>
    </fill>
    <fill>
      <patternFill patternType="solid">
        <fgColor indexed="33"/>
        <bgColor auto="1"/>
      </patternFill>
    </fill>
    <fill>
      <patternFill patternType="solid">
        <fgColor indexed="34"/>
        <bgColor auto="1"/>
      </patternFill>
    </fill>
    <fill>
      <patternFill patternType="solid">
        <fgColor indexed="35"/>
        <bgColor auto="1"/>
      </patternFill>
    </fill>
    <fill>
      <patternFill patternType="solid">
        <fgColor indexed="36"/>
        <bgColor auto="1"/>
      </patternFill>
    </fill>
    <fill>
      <patternFill patternType="solid">
        <fgColor indexed="37"/>
        <bgColor auto="1"/>
      </patternFill>
    </fill>
    <fill>
      <patternFill patternType="solid">
        <fgColor indexed="38"/>
        <bgColor auto="1"/>
      </patternFill>
    </fill>
    <fill>
      <patternFill patternType="solid">
        <fgColor indexed="40"/>
        <bgColor auto="1"/>
      </patternFill>
    </fill>
    <fill>
      <patternFill patternType="solid">
        <fgColor indexed="42"/>
        <bgColor auto="1"/>
      </patternFill>
    </fill>
    <fill>
      <patternFill patternType="solid">
        <fgColor indexed="43"/>
        <bgColor auto="1"/>
      </patternFill>
    </fill>
    <fill>
      <patternFill patternType="solid">
        <fgColor indexed="44"/>
        <bgColor auto="1"/>
      </patternFill>
    </fill>
    <fill>
      <patternFill patternType="solid">
        <fgColor indexed="45"/>
        <bgColor auto="1"/>
      </patternFill>
    </fill>
    <fill>
      <patternFill patternType="solid">
        <fgColor indexed="46"/>
        <bgColor auto="1"/>
      </patternFill>
    </fill>
    <fill>
      <patternFill patternType="solid">
        <fgColor indexed="47"/>
        <bgColor auto="1"/>
      </patternFill>
    </fill>
    <fill>
      <patternFill patternType="solid">
        <fgColor indexed="48"/>
        <bgColor auto="1"/>
      </patternFill>
    </fill>
    <fill>
      <patternFill patternType="solid">
        <fgColor indexed="49"/>
        <bgColor auto="1"/>
      </patternFill>
    </fill>
    <fill>
      <patternFill patternType="solid">
        <fgColor indexed="50"/>
        <bgColor auto="1"/>
      </patternFill>
    </fill>
    <fill>
      <patternFill patternType="solid">
        <fgColor indexed="51"/>
        <bgColor auto="1"/>
      </patternFill>
    </fill>
    <fill>
      <patternFill patternType="solid">
        <fgColor indexed="52"/>
        <bgColor auto="1"/>
      </patternFill>
    </fill>
    <fill>
      <patternFill patternType="solid">
        <fgColor indexed="54"/>
        <bgColor auto="1"/>
      </patternFill>
    </fill>
    <fill>
      <patternFill patternType="solid">
        <fgColor indexed="55"/>
        <bgColor auto="1"/>
      </patternFill>
    </fill>
    <fill>
      <patternFill patternType="solid">
        <fgColor indexed="56"/>
        <bgColor auto="1"/>
      </patternFill>
    </fill>
    <fill>
      <patternFill patternType="solid">
        <fgColor indexed="57"/>
        <bgColor auto="1"/>
      </patternFill>
    </fill>
    <fill>
      <patternFill patternType="solid">
        <fgColor indexed="58"/>
        <bgColor auto="1"/>
      </patternFill>
    </fill>
    <fill>
      <patternFill patternType="solid">
        <fgColor indexed="59"/>
        <bgColor auto="1"/>
      </patternFill>
    </fill>
    <fill>
      <patternFill patternType="solid">
        <fgColor indexed="60"/>
        <bgColor auto="1"/>
      </patternFill>
    </fill>
    <fill>
      <patternFill patternType="solid">
        <fgColor indexed="61"/>
        <bgColor auto="1"/>
      </patternFill>
    </fill>
    <fill>
      <patternFill patternType="solid">
        <fgColor indexed="62"/>
        <bgColor auto="1"/>
      </patternFill>
    </fill>
    <fill>
      <patternFill patternType="solid">
        <fgColor indexed="63"/>
        <bgColor auto="1"/>
      </patternFill>
    </fill>
    <fill>
      <patternFill patternType="solid">
        <fgColor rgb="ffff9690"/>
        <bgColor auto="1"/>
      </patternFill>
    </fill>
  </fills>
  <borders count="196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medium">
        <color indexed="8"/>
      </right>
      <top/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ck">
        <color indexed="8"/>
      </top>
      <bottom style="thick">
        <color indexed="8"/>
      </bottom>
      <diagonal/>
    </border>
    <border>
      <left style="thin">
        <color indexed="9"/>
      </left>
      <right style="thin">
        <color indexed="9"/>
      </right>
      <top style="thick">
        <color indexed="8"/>
      </top>
      <bottom style="thick">
        <color indexed="8"/>
      </bottom>
      <diagonal/>
    </border>
    <border>
      <left style="thin">
        <color indexed="9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ck">
        <color indexed="8"/>
      </top>
      <bottom/>
      <diagonal/>
    </border>
    <border>
      <left style="thin">
        <color indexed="9"/>
      </left>
      <right style="thin">
        <color indexed="9"/>
      </right>
      <top style="thick">
        <color indexed="8"/>
      </top>
      <bottom/>
      <diagonal/>
    </border>
    <border>
      <left style="thin">
        <color indexed="9"/>
      </left>
      <right style="thin">
        <color indexed="12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12"/>
      </right>
      <top/>
      <bottom style="thin">
        <color indexed="9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2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9"/>
      </right>
      <top style="medium">
        <color indexed="8"/>
      </top>
      <bottom style="thick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ck">
        <color indexed="8"/>
      </bottom>
      <diagonal/>
    </border>
    <border>
      <left style="thin">
        <color indexed="9"/>
      </left>
      <right style="medium">
        <color indexed="9"/>
      </right>
      <top style="thick">
        <color indexed="8"/>
      </top>
      <bottom style="thick">
        <color indexed="8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ck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1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2"/>
      </bottom>
      <diagonal/>
    </border>
    <border>
      <left style="thin">
        <color indexed="9"/>
      </left>
      <right style="thin">
        <color indexed="12"/>
      </right>
      <top style="thin">
        <color indexed="9"/>
      </top>
      <bottom style="thin">
        <color indexed="12"/>
      </bottom>
      <diagonal/>
    </border>
    <border>
      <left style="medium">
        <color indexed="8"/>
      </left>
      <right style="medium">
        <color indexed="8"/>
      </right>
      <top style="thin">
        <color indexed="12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9"/>
      </right>
      <top style="thick">
        <color indexed="8"/>
      </top>
      <bottom style="thick">
        <color indexed="8"/>
      </bottom>
      <diagonal/>
    </border>
    <border>
      <left style="medium">
        <color indexed="9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9"/>
      </right>
      <top style="thick">
        <color indexed="8"/>
      </top>
      <bottom style="thick">
        <color indexed="8"/>
      </bottom>
      <diagonal/>
    </border>
    <border>
      <left style="medium">
        <color indexed="9"/>
      </left>
      <right style="medium">
        <color indexed="9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n">
        <color indexed="12"/>
      </bottom>
      <diagonal/>
    </border>
    <border>
      <left style="thin">
        <color indexed="8"/>
      </left>
      <right style="thin">
        <color indexed="8"/>
      </right>
      <top/>
      <bottom style="thin">
        <color indexed="12"/>
      </bottom>
      <diagonal/>
    </border>
    <border>
      <left style="thin">
        <color indexed="8"/>
      </left>
      <right style="thick">
        <color indexed="8"/>
      </right>
      <top/>
      <bottom style="thin">
        <color indexed="12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16"/>
      </right>
      <top style="thick">
        <color indexed="8"/>
      </top>
      <bottom style="medium">
        <color indexed="16"/>
      </bottom>
      <diagonal/>
    </border>
    <border>
      <left style="thin">
        <color indexed="16"/>
      </left>
      <right style="thin">
        <color indexed="16"/>
      </right>
      <top style="thick">
        <color indexed="8"/>
      </top>
      <bottom style="medium">
        <color indexed="16"/>
      </bottom>
      <diagonal/>
    </border>
    <border>
      <left style="thin">
        <color indexed="16"/>
      </left>
      <right style="thin">
        <color indexed="12"/>
      </right>
      <top style="thick">
        <color indexed="8"/>
      </top>
      <bottom style="medium">
        <color indexed="16"/>
      </bottom>
      <diagonal/>
    </border>
    <border>
      <left style="thick">
        <color indexed="8"/>
      </left>
      <right style="thin">
        <color indexed="16"/>
      </right>
      <top style="medium">
        <color indexed="16"/>
      </top>
      <bottom/>
      <diagonal/>
    </border>
    <border>
      <left style="thin">
        <color indexed="16"/>
      </left>
      <right style="thin">
        <color indexed="16"/>
      </right>
      <top style="medium">
        <color indexed="16"/>
      </top>
      <bottom/>
      <diagonal/>
    </border>
    <border>
      <left style="thin">
        <color indexed="16"/>
      </left>
      <right style="thin">
        <color indexed="12"/>
      </right>
      <top style="medium">
        <color indexed="16"/>
      </top>
      <bottom/>
      <diagonal/>
    </border>
    <border>
      <left style="thick">
        <color indexed="16"/>
      </left>
      <right/>
      <top style="thick">
        <color indexed="8"/>
      </top>
      <bottom/>
      <diagonal/>
    </border>
    <border>
      <left/>
      <right style="medium">
        <color indexed="16"/>
      </right>
      <top style="thick">
        <color indexed="8"/>
      </top>
      <bottom/>
      <diagonal/>
    </border>
    <border>
      <left style="medium">
        <color indexed="16"/>
      </left>
      <right style="medium">
        <color indexed="16"/>
      </right>
      <top style="thick">
        <color indexed="8"/>
      </top>
      <bottom/>
      <diagonal/>
    </border>
    <border>
      <left style="medium">
        <color indexed="16"/>
      </left>
      <right style="thin">
        <color indexed="16"/>
      </right>
      <top/>
      <bottom/>
      <diagonal/>
    </border>
    <border>
      <left style="thin">
        <color indexed="16"/>
      </left>
      <right style="thin">
        <color indexed="16"/>
      </right>
      <top/>
      <bottom/>
      <diagonal/>
    </border>
    <border>
      <left style="thin">
        <color indexed="16"/>
      </left>
      <right style="thin">
        <color indexed="12"/>
      </right>
      <top/>
      <bottom/>
      <diagonal/>
    </border>
    <border>
      <left style="thick">
        <color indexed="16"/>
      </left>
      <right/>
      <top/>
      <bottom/>
      <diagonal/>
    </border>
    <border>
      <left/>
      <right style="medium">
        <color indexed="16"/>
      </right>
      <top/>
      <bottom/>
      <diagonal/>
    </border>
    <border>
      <left style="medium">
        <color indexed="16"/>
      </left>
      <right style="medium">
        <color indexed="16"/>
      </right>
      <top/>
      <bottom/>
      <diagonal/>
    </border>
    <border>
      <left style="medium">
        <color indexed="16"/>
      </left>
      <right style="thin">
        <color indexed="16"/>
      </right>
      <top/>
      <bottom style="thick">
        <color indexed="8"/>
      </bottom>
      <diagonal/>
    </border>
    <border>
      <left style="thin">
        <color indexed="16"/>
      </left>
      <right style="thin">
        <color indexed="16"/>
      </right>
      <top/>
      <bottom style="thick">
        <color indexed="8"/>
      </bottom>
      <diagonal/>
    </border>
    <border>
      <left style="thick">
        <color indexed="8"/>
      </left>
      <right style="thin">
        <color indexed="16"/>
      </right>
      <top style="thick">
        <color indexed="8"/>
      </top>
      <bottom style="thick">
        <color indexed="8"/>
      </bottom>
      <diagonal/>
    </border>
    <border>
      <left style="thin">
        <color indexed="16"/>
      </left>
      <right style="thin">
        <color indexed="16"/>
      </right>
      <top style="thick">
        <color indexed="8"/>
      </top>
      <bottom style="thick">
        <color indexed="8"/>
      </bottom>
      <diagonal/>
    </border>
    <border>
      <left style="thin">
        <color indexed="16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6"/>
      </right>
      <top/>
      <bottom/>
      <diagonal/>
    </border>
    <border>
      <left style="thick">
        <color indexed="16"/>
      </left>
      <right/>
      <top/>
      <bottom style="thick">
        <color indexed="8"/>
      </bottom>
      <diagonal/>
    </border>
    <border>
      <left/>
      <right style="medium">
        <color indexed="16"/>
      </right>
      <top/>
      <bottom style="thick">
        <color indexed="8"/>
      </bottom>
      <diagonal/>
    </border>
    <border>
      <left style="medium">
        <color indexed="16"/>
      </left>
      <right style="medium">
        <color indexed="16"/>
      </right>
      <top/>
      <bottom style="thick">
        <color indexed="8"/>
      </bottom>
      <diagonal/>
    </border>
    <border>
      <left style="medium">
        <color indexed="16"/>
      </left>
      <right style="thin">
        <color indexed="16"/>
      </right>
      <top style="thick">
        <color indexed="8"/>
      </top>
      <bottom style="thick">
        <color indexed="8"/>
      </bottom>
      <diagonal/>
    </border>
    <border>
      <left style="thin">
        <color indexed="16"/>
      </left>
      <right style="thin">
        <color indexed="12"/>
      </right>
      <top/>
      <bottom style="thick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rgb="ffa5a5a5"/>
      </right>
      <top style="medium">
        <color indexed="8"/>
      </top>
      <bottom style="medium">
        <color indexed="8"/>
      </bottom>
      <diagonal/>
    </border>
    <border>
      <left style="thin">
        <color rgb="ffa5a5a5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16"/>
      </right>
      <top/>
      <bottom style="thin">
        <color indexed="12"/>
      </bottom>
      <diagonal/>
    </border>
    <border>
      <left style="thin">
        <color indexed="16"/>
      </left>
      <right style="thin">
        <color indexed="16"/>
      </right>
      <top/>
      <bottom style="thin">
        <color indexed="12"/>
      </bottom>
      <diagonal/>
    </border>
    <border>
      <left style="thin">
        <color indexed="16"/>
      </left>
      <right style="thin">
        <color indexed="12"/>
      </right>
      <top/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7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bottom"/>
    </xf>
    <xf numFmtId="0" fontId="4" fillId="2" borderId="2" applyNumberFormat="1" applyFont="1" applyFill="1" applyBorder="1" applyAlignment="1" applyProtection="0">
      <alignment vertical="bottom"/>
    </xf>
    <xf numFmtId="0" fontId="4" fillId="2" borderId="3" applyNumberFormat="1" applyFont="1" applyFill="1" applyBorder="1" applyAlignment="1" applyProtection="0">
      <alignment vertical="bottom"/>
    </xf>
    <xf numFmtId="0" fontId="4" fillId="2" borderId="4" applyNumberFormat="1" applyFont="1" applyFill="1" applyBorder="1" applyAlignment="1" applyProtection="0">
      <alignment vertical="bottom"/>
    </xf>
    <xf numFmtId="0" fontId="4" fillId="2" borderId="5" applyNumberFormat="1" applyFont="1" applyFill="1" applyBorder="1" applyAlignment="1" applyProtection="0">
      <alignment vertical="bottom"/>
    </xf>
    <xf numFmtId="0" fontId="4" fillId="2" borderId="6" applyNumberFormat="1" applyFont="1" applyFill="1" applyBorder="1" applyAlignment="1" applyProtection="0">
      <alignment vertical="bottom"/>
    </xf>
    <xf numFmtId="0" fontId="4" fillId="2" borderId="7" applyNumberFormat="1" applyFont="1" applyFill="1" applyBorder="1" applyAlignment="1" applyProtection="0">
      <alignment vertical="bottom"/>
    </xf>
    <xf numFmtId="0" fontId="4" fillId="2" borderId="8" applyNumberFormat="1" applyFont="1" applyFill="1" applyBorder="1" applyAlignment="1" applyProtection="0">
      <alignment vertical="bottom"/>
    </xf>
    <xf numFmtId="0" fontId="4" fillId="2" borderId="9" applyNumberFormat="1" applyFont="1" applyFill="1" applyBorder="1" applyAlignment="1" applyProtection="0">
      <alignment vertical="bottom"/>
    </xf>
    <xf numFmtId="49" fontId="5" fillId="3" borderId="10" applyNumberFormat="1" applyFont="1" applyFill="1" applyBorder="1" applyAlignment="1" applyProtection="0">
      <alignment horizontal="left" vertical="center"/>
    </xf>
    <xf numFmtId="0" fontId="4" fillId="2" borderId="11" applyNumberFormat="1" applyFont="1" applyFill="1" applyBorder="1" applyAlignment="1" applyProtection="0">
      <alignment vertical="bottom"/>
    </xf>
    <xf numFmtId="49" fontId="6" fillId="3" borderId="11" applyNumberFormat="1" applyFont="1" applyFill="1" applyBorder="1" applyAlignment="1" applyProtection="0">
      <alignment horizontal="center" vertical="bottom"/>
    </xf>
    <xf numFmtId="0" fontId="4" fillId="2" borderId="12" applyNumberFormat="1" applyFont="1" applyFill="1" applyBorder="1" applyAlignment="1" applyProtection="0">
      <alignment vertical="bottom"/>
    </xf>
    <xf numFmtId="49" fontId="5" fillId="3" borderId="10" applyNumberFormat="1" applyFont="1" applyFill="1" applyBorder="1" applyAlignment="1" applyProtection="0">
      <alignment horizontal="center" vertical="bottom"/>
    </xf>
    <xf numFmtId="0" fontId="4" fillId="2" borderId="13" applyNumberFormat="1" applyFont="1" applyFill="1" applyBorder="1" applyAlignment="1" applyProtection="0">
      <alignment vertical="bottom"/>
    </xf>
    <xf numFmtId="49" fontId="5" fillId="3" borderId="14" applyNumberFormat="1" applyFont="1" applyFill="1" applyBorder="1" applyAlignment="1" applyProtection="0">
      <alignment horizontal="center" vertical="bottom"/>
    </xf>
    <xf numFmtId="49" fontId="6" fillId="3" borderId="15" applyNumberFormat="1" applyFont="1" applyFill="1" applyBorder="1" applyAlignment="1" applyProtection="0">
      <alignment vertical="bottom"/>
    </xf>
    <xf numFmtId="0" fontId="6" fillId="2" borderId="16" applyNumberFormat="1" applyFont="1" applyFill="1" applyBorder="1" applyAlignment="1" applyProtection="0">
      <alignment horizontal="center" vertical="bottom"/>
    </xf>
    <xf numFmtId="0" fontId="4" fillId="2" borderId="17" applyNumberFormat="1" applyFont="1" applyFill="1" applyBorder="1" applyAlignment="1" applyProtection="0">
      <alignment vertical="bottom"/>
    </xf>
    <xf numFmtId="0" fontId="4" fillId="2" borderId="18" applyNumberFormat="1" applyFont="1" applyFill="1" applyBorder="1" applyAlignment="1" applyProtection="0">
      <alignment vertical="bottom"/>
    </xf>
    <xf numFmtId="0" fontId="7" fillId="2" borderId="19" applyNumberFormat="1" applyFont="1" applyFill="1" applyBorder="1" applyAlignment="1" applyProtection="0">
      <alignment vertical="bottom"/>
    </xf>
    <xf numFmtId="49" fontId="6" fillId="3" borderId="20" applyNumberFormat="1" applyFont="1" applyFill="1" applyBorder="1" applyAlignment="1" applyProtection="0">
      <alignment vertical="bottom"/>
    </xf>
    <xf numFmtId="0" fontId="7" fillId="2" borderId="16" applyNumberFormat="1" applyFont="1" applyFill="1" applyBorder="1" applyAlignment="1" applyProtection="0">
      <alignment horizontal="center" vertical="bottom"/>
    </xf>
    <xf numFmtId="0" fontId="4" fillId="2" borderId="21" applyNumberFormat="1" applyFont="1" applyFill="1" applyBorder="1" applyAlignment="1" applyProtection="0">
      <alignment vertical="bottom"/>
    </xf>
    <xf numFmtId="49" fontId="6" fillId="3" borderId="22" applyNumberFormat="1" applyFont="1" applyFill="1" applyBorder="1" applyAlignment="1" applyProtection="0">
      <alignment vertical="bottom"/>
    </xf>
    <xf numFmtId="0" fontId="6" fillId="2" borderId="23" applyNumberFormat="1" applyFont="1" applyFill="1" applyBorder="1" applyAlignment="1" applyProtection="0">
      <alignment horizontal="center" vertical="bottom"/>
    </xf>
    <xf numFmtId="0" fontId="4" fillId="2" borderId="24" applyNumberFormat="1" applyFont="1" applyFill="1" applyBorder="1" applyAlignment="1" applyProtection="0">
      <alignment vertical="bottom"/>
    </xf>
    <xf numFmtId="0" fontId="4" fillId="2" borderId="25" applyNumberFormat="1" applyFont="1" applyFill="1" applyBorder="1" applyAlignment="1" applyProtection="0">
      <alignment vertical="bottom"/>
    </xf>
    <xf numFmtId="0" fontId="7" fillId="2" borderId="26" applyNumberFormat="1" applyFont="1" applyFill="1" applyBorder="1" applyAlignment="1" applyProtection="0">
      <alignment vertical="bottom"/>
    </xf>
    <xf numFmtId="49" fontId="6" fillId="3" borderId="27" applyNumberFormat="1" applyFont="1" applyFill="1" applyBorder="1" applyAlignment="1" applyProtection="0">
      <alignment vertical="bottom"/>
    </xf>
    <xf numFmtId="0" fontId="7" fillId="2" borderId="23" applyNumberFormat="1" applyFont="1" applyFill="1" applyBorder="1" applyAlignment="1" applyProtection="0">
      <alignment horizontal="center" vertical="bottom"/>
    </xf>
    <xf numFmtId="0" fontId="4" fillId="2" borderId="28" applyNumberFormat="1" applyFont="1" applyFill="1" applyBorder="1" applyAlignment="1" applyProtection="0">
      <alignment vertical="bottom"/>
    </xf>
    <xf numFmtId="49" fontId="6" fillId="3" borderId="29" applyNumberFormat="1" applyFont="1" applyFill="1" applyBorder="1" applyAlignment="1" applyProtection="0">
      <alignment vertical="bottom"/>
    </xf>
    <xf numFmtId="0" fontId="7" fillId="2" borderId="30" applyNumberFormat="1" applyFont="1" applyFill="1" applyBorder="1" applyAlignment="1" applyProtection="0">
      <alignment horizontal="center" vertical="bottom"/>
    </xf>
    <xf numFmtId="0" fontId="4" fillId="2" borderId="31" applyNumberFormat="1" applyFont="1" applyFill="1" applyBorder="1" applyAlignment="1" applyProtection="0">
      <alignment vertical="bottom"/>
    </xf>
    <xf numFmtId="0" fontId="4" fillId="2" borderId="32" applyNumberFormat="1" applyFont="1" applyFill="1" applyBorder="1" applyAlignment="1" applyProtection="0">
      <alignment vertical="bottom"/>
    </xf>
    <xf numFmtId="49" fontId="6" fillId="3" borderId="33" applyNumberFormat="1" applyFont="1" applyFill="1" applyBorder="1" applyAlignment="1" applyProtection="0">
      <alignment vertical="bottom"/>
    </xf>
    <xf numFmtId="0" fontId="6" fillId="2" borderId="34" applyNumberFormat="1" applyFont="1" applyFill="1" applyBorder="1" applyAlignment="1" applyProtection="0">
      <alignment horizontal="center" vertical="bottom"/>
    </xf>
    <xf numFmtId="0" fontId="4" fillId="2" borderId="35" applyNumberFormat="1" applyFont="1" applyFill="1" applyBorder="1" applyAlignment="1" applyProtection="0">
      <alignment vertical="bottom"/>
    </xf>
    <xf numFmtId="0" fontId="4" fillId="2" borderId="36" applyNumberFormat="1" applyFont="1" applyFill="1" applyBorder="1" applyAlignment="1" applyProtection="0">
      <alignment vertical="bottom"/>
    </xf>
    <xf numFmtId="0" fontId="7" fillId="2" borderId="37" applyNumberFormat="1" applyFont="1" applyFill="1" applyBorder="1" applyAlignment="1" applyProtection="0">
      <alignment vertical="bottom"/>
    </xf>
    <xf numFmtId="0" fontId="7" fillId="2" borderId="38" applyNumberFormat="1" applyFont="1" applyFill="1" applyBorder="1" applyAlignment="1" applyProtection="0">
      <alignment vertical="bottom"/>
    </xf>
    <xf numFmtId="0" fontId="7" fillId="2" borderId="39" applyNumberFormat="1" applyFont="1" applyFill="1" applyBorder="1" applyAlignment="1" applyProtection="0">
      <alignment horizontal="center" vertical="bottom"/>
    </xf>
    <xf numFmtId="0" fontId="4" fillId="2" borderId="39" applyNumberFormat="1" applyFont="1" applyFill="1" applyBorder="1" applyAlignment="1" applyProtection="0">
      <alignment vertical="bottom"/>
    </xf>
    <xf numFmtId="0" fontId="4" fillId="2" borderId="40" applyNumberFormat="1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horizontal="left" vertical="bottom"/>
    </xf>
    <xf numFmtId="49" fontId="6" fillId="3" borderId="41" applyNumberFormat="1" applyFont="1" applyFill="1" applyBorder="1" applyAlignment="1" applyProtection="0">
      <alignment vertical="bottom"/>
    </xf>
    <xf numFmtId="49" fontId="6" fillId="3" borderId="42" applyNumberFormat="1" applyFont="1" applyFill="1" applyBorder="1" applyAlignment="1" applyProtection="0">
      <alignment horizontal="center" vertical="bottom" wrapText="1"/>
    </xf>
    <xf numFmtId="49" fontId="6" fillId="3" borderId="43" applyNumberFormat="1" applyFont="1" applyFill="1" applyBorder="1" applyAlignment="1" applyProtection="0">
      <alignment horizontal="center" vertical="bottom"/>
    </xf>
    <xf numFmtId="49" fontId="6" fillId="3" borderId="44" applyNumberFormat="1" applyFont="1" applyFill="1" applyBorder="1" applyAlignment="1" applyProtection="0">
      <alignment horizontal="center" vertical="bottom" wrapText="1"/>
    </xf>
    <xf numFmtId="0" fontId="7" fillId="2" borderId="45" applyNumberFormat="1" applyFont="1" applyFill="1" applyBorder="1" applyAlignment="1" applyProtection="0">
      <alignment horizontal="center" vertical="bottom"/>
    </xf>
    <xf numFmtId="0" fontId="7" fillId="2" borderId="46" applyNumberFormat="1" applyFont="1" applyFill="1" applyBorder="1" applyAlignment="1" applyProtection="0">
      <alignment horizontal="center" vertical="bottom"/>
    </xf>
    <xf numFmtId="49" fontId="5" fillId="3" borderId="47" applyNumberFormat="1" applyFont="1" applyFill="1" applyBorder="1" applyAlignment="1" applyProtection="0">
      <alignment horizontal="center" vertical="bottom"/>
    </xf>
    <xf numFmtId="49" fontId="5" fillId="2" borderId="47" applyNumberFormat="1" applyFont="1" applyFill="1" applyBorder="1" applyAlignment="1" applyProtection="0">
      <alignment horizontal="center" vertical="bottom"/>
    </xf>
    <xf numFmtId="49" fontId="8" fillId="2" borderId="48" applyNumberFormat="1" applyFont="1" applyFill="1" applyBorder="1" applyAlignment="1" applyProtection="0">
      <alignment horizontal="left" vertical="center"/>
    </xf>
    <xf numFmtId="0" fontId="8" fillId="2" borderId="49" applyNumberFormat="1" applyFont="1" applyFill="1" applyBorder="1" applyAlignment="1" applyProtection="0">
      <alignment horizontal="center" vertical="bottom"/>
    </xf>
    <xf numFmtId="0" fontId="8" fillId="2" borderId="50" applyNumberFormat="1" applyFont="1" applyFill="1" applyBorder="1" applyAlignment="1" applyProtection="0">
      <alignment horizontal="center" vertical="bottom"/>
    </xf>
    <xf numFmtId="49" fontId="6" fillId="3" borderId="51" applyNumberFormat="1" applyFont="1" applyFill="1" applyBorder="1" applyAlignment="1" applyProtection="0">
      <alignment vertical="bottom"/>
    </xf>
    <xf numFmtId="0" fontId="7" fillId="2" borderId="52" applyNumberFormat="1" applyFont="1" applyFill="1" applyBorder="1" applyAlignment="1" applyProtection="0">
      <alignment vertical="bottom"/>
    </xf>
    <xf numFmtId="0" fontId="7" fillId="2" borderId="53" applyNumberFormat="1" applyFont="1" applyFill="1" applyBorder="1" applyAlignment="1" applyProtection="0">
      <alignment vertical="bottom"/>
    </xf>
    <xf numFmtId="59" fontId="7" fillId="2" borderId="54" applyNumberFormat="1" applyFont="1" applyFill="1" applyBorder="1" applyAlignment="1" applyProtection="0">
      <alignment vertical="bottom"/>
    </xf>
    <xf numFmtId="0" fontId="7" fillId="2" borderId="55" applyNumberFormat="1" applyFont="1" applyFill="1" applyBorder="1" applyAlignment="1" applyProtection="0">
      <alignment horizontal="center" vertical="bottom"/>
    </xf>
    <xf numFmtId="0" fontId="7" fillId="2" borderId="56" applyNumberFormat="1" applyFont="1" applyFill="1" applyBorder="1" applyAlignment="1" applyProtection="0">
      <alignment horizontal="center" vertical="bottom"/>
    </xf>
    <xf numFmtId="49" fontId="7" fillId="3" borderId="57" applyNumberFormat="1" applyFont="1" applyFill="1" applyBorder="1" applyAlignment="1" applyProtection="0">
      <alignment vertical="bottom"/>
    </xf>
    <xf numFmtId="0" fontId="4" fillId="2" borderId="57" applyNumberFormat="1" applyFont="1" applyFill="1" applyBorder="1" applyAlignment="1" applyProtection="0">
      <alignment vertical="bottom"/>
    </xf>
    <xf numFmtId="49" fontId="8" fillId="2" borderId="48" applyNumberFormat="1" applyFont="1" applyFill="1" applyBorder="1" applyAlignment="1" applyProtection="0">
      <alignment horizontal="left" vertical="bottom"/>
    </xf>
    <xf numFmtId="0" fontId="9" fillId="2" borderId="58" applyNumberFormat="1" applyFont="1" applyFill="1" applyBorder="1" applyAlignment="1" applyProtection="0">
      <alignment horizontal="center" vertical="center"/>
    </xf>
    <xf numFmtId="0" fontId="7" fillId="2" borderId="59" applyNumberFormat="1" applyFont="1" applyFill="1" applyBorder="1" applyAlignment="1" applyProtection="0">
      <alignment vertical="bottom"/>
    </xf>
    <xf numFmtId="0" fontId="7" fillId="2" borderId="60" applyNumberFormat="1" applyFont="1" applyFill="1" applyBorder="1" applyAlignment="1" applyProtection="0">
      <alignment vertical="bottom"/>
    </xf>
    <xf numFmtId="59" fontId="7" fillId="2" borderId="61" applyNumberFormat="1" applyFont="1" applyFill="1" applyBorder="1" applyAlignment="1" applyProtection="0">
      <alignment vertical="bottom"/>
    </xf>
    <xf numFmtId="49" fontId="7" fillId="3" borderId="27" applyNumberFormat="1" applyFont="1" applyFill="1" applyBorder="1" applyAlignment="1" applyProtection="0">
      <alignment vertical="bottom"/>
    </xf>
    <xf numFmtId="0" fontId="7" fillId="2" borderId="27" applyNumberFormat="1" applyFont="1" applyFill="1" applyBorder="1" applyAlignment="1" applyProtection="0">
      <alignment vertical="bottom"/>
    </xf>
    <xf numFmtId="0" fontId="8" fillId="2" borderId="62" applyNumberFormat="1" applyFont="1" applyFill="1" applyBorder="1" applyAlignment="1" applyProtection="0">
      <alignment horizontal="left" vertical="bottom"/>
    </xf>
    <xf numFmtId="0" fontId="8" fillId="2" borderId="63" applyNumberFormat="1" applyFont="1" applyFill="1" applyBorder="1" applyAlignment="1" applyProtection="0">
      <alignment horizontal="center" vertical="bottom"/>
    </xf>
    <xf numFmtId="0" fontId="8" fillId="2" borderId="64" applyNumberFormat="1" applyFont="1" applyFill="1" applyBorder="1" applyAlignment="1" applyProtection="0">
      <alignment horizontal="center" vertical="bottom"/>
    </xf>
    <xf numFmtId="49" fontId="5" fillId="3" borderId="65" applyNumberFormat="1" applyFont="1" applyFill="1" applyBorder="1" applyAlignment="1" applyProtection="0">
      <alignment horizontal="left" vertical="bottom"/>
    </xf>
    <xf numFmtId="0" fontId="7" fillId="2" borderId="66" applyNumberFormat="1" applyFont="1" applyFill="1" applyBorder="1" applyAlignment="1" applyProtection="0">
      <alignment horizontal="center" vertical="bottom"/>
    </xf>
    <xf numFmtId="0" fontId="7" fillId="2" borderId="67" applyNumberFormat="1" applyFont="1" applyFill="1" applyBorder="1" applyAlignment="1" applyProtection="0">
      <alignment horizontal="center" vertical="bottom"/>
    </xf>
    <xf numFmtId="59" fontId="7" fillId="2" borderId="68" applyNumberFormat="1" applyFont="1" applyFill="1" applyBorder="1" applyAlignment="1" applyProtection="0">
      <alignment vertical="bottom"/>
    </xf>
    <xf numFmtId="0" fontId="7" fillId="2" borderId="69" applyNumberFormat="1" applyFont="1" applyFill="1" applyBorder="1" applyAlignment="1" applyProtection="0">
      <alignment horizontal="center" vertical="bottom"/>
    </xf>
    <xf numFmtId="0" fontId="7" fillId="2" borderId="70" applyNumberFormat="1" applyFont="1" applyFill="1" applyBorder="1" applyAlignment="1" applyProtection="0">
      <alignment horizontal="center" vertical="bottom"/>
    </xf>
    <xf numFmtId="49" fontId="6" fillId="3" borderId="71" applyNumberFormat="1" applyFont="1" applyFill="1" applyBorder="1" applyAlignment="1" applyProtection="0">
      <alignment vertical="bottom"/>
    </xf>
    <xf numFmtId="0" fontId="7" fillId="2" borderId="72" applyNumberFormat="1" applyFont="1" applyFill="1" applyBorder="1" applyAlignment="1" applyProtection="0">
      <alignment vertical="bottom"/>
    </xf>
    <xf numFmtId="0" fontId="7" fillId="2" borderId="73" applyNumberFormat="1" applyFont="1" applyFill="1" applyBorder="1" applyAlignment="1" applyProtection="0">
      <alignment vertical="bottom"/>
    </xf>
    <xf numFmtId="59" fontId="7" fillId="4" borderId="74" applyNumberFormat="1" applyFont="1" applyFill="1" applyBorder="1" applyAlignment="1" applyProtection="0">
      <alignment vertical="bottom"/>
    </xf>
    <xf numFmtId="0" fontId="7" fillId="2" borderId="75" applyNumberFormat="1" applyFont="1" applyFill="1" applyBorder="1" applyAlignment="1" applyProtection="0">
      <alignment horizontal="center" vertical="bottom"/>
    </xf>
    <xf numFmtId="0" fontId="7" fillId="2" borderId="76" applyNumberFormat="1" applyFont="1" applyFill="1" applyBorder="1" applyAlignment="1" applyProtection="0">
      <alignment horizontal="center" vertical="bottom"/>
    </xf>
    <xf numFmtId="0" fontId="7" fillId="2" borderId="77" applyNumberFormat="1" applyFont="1" applyFill="1" applyBorder="1" applyAlignment="1" applyProtection="0">
      <alignment horizontal="center" vertical="bottom"/>
    </xf>
    <xf numFmtId="49" fontId="5" fillId="3" borderId="71" applyNumberFormat="1" applyFont="1" applyFill="1" applyBorder="1" applyAlignment="1" applyProtection="0">
      <alignment horizontal="left" vertical="bottom"/>
    </xf>
    <xf numFmtId="0" fontId="7" fillId="2" borderId="78" applyNumberFormat="1" applyFont="1" applyFill="1" applyBorder="1" applyAlignment="1" applyProtection="0">
      <alignment horizontal="center" vertical="bottom"/>
    </xf>
    <xf numFmtId="0" fontId="7" fillId="2" borderId="79" applyNumberFormat="1" applyFont="1" applyFill="1" applyBorder="1" applyAlignment="1" applyProtection="0">
      <alignment horizontal="center" vertical="bottom"/>
    </xf>
    <xf numFmtId="60" fontId="7" fillId="5" borderId="80" applyNumberFormat="1" applyFont="1" applyFill="1" applyBorder="1" applyAlignment="1" applyProtection="0">
      <alignment horizontal="right" vertical="bottom"/>
    </xf>
    <xf numFmtId="0" fontId="7" fillId="2" borderId="81" applyNumberFormat="1" applyFont="1" applyFill="1" applyBorder="1" applyAlignment="1" applyProtection="0">
      <alignment horizontal="center" vertical="bottom"/>
    </xf>
    <xf numFmtId="0" fontId="7" fillId="2" borderId="82" applyNumberFormat="1" applyFont="1" applyFill="1" applyBorder="1" applyAlignment="1" applyProtection="0">
      <alignment horizontal="center" vertical="bottom"/>
    </xf>
    <xf numFmtId="0" fontId="7" fillId="2" borderId="83" applyNumberFormat="1" applyFont="1" applyFill="1" applyBorder="1" applyAlignment="1" applyProtection="0">
      <alignment horizontal="center" vertical="bottom"/>
    </xf>
    <xf numFmtId="0" fontId="7" fillId="2" borderId="84" applyNumberFormat="1" applyFont="1" applyFill="1" applyBorder="1" applyAlignment="1" applyProtection="0">
      <alignment horizontal="center" vertical="bottom"/>
    </xf>
    <xf numFmtId="0" fontId="7" fillId="2" borderId="85" applyNumberFormat="1" applyFont="1" applyFill="1" applyBorder="1" applyAlignment="1" applyProtection="0">
      <alignment horizontal="center" vertical="bottom"/>
    </xf>
    <xf numFmtId="49" fontId="7" fillId="3" borderId="86" applyNumberFormat="1" applyFont="1" applyFill="1" applyBorder="1" applyAlignment="1" applyProtection="0">
      <alignment vertical="bottom"/>
    </xf>
    <xf numFmtId="0" fontId="7" fillId="2" borderId="86" applyNumberFormat="1" applyFont="1" applyFill="1" applyBorder="1" applyAlignment="1" applyProtection="0">
      <alignment vertical="bottom"/>
    </xf>
    <xf numFmtId="0" fontId="7" fillId="2" borderId="87" applyNumberFormat="1" applyFont="1" applyFill="1" applyBorder="1" applyAlignment="1" applyProtection="0">
      <alignment horizontal="center" vertical="bottom"/>
    </xf>
    <xf numFmtId="0" fontId="7" fillId="2" borderId="88" applyNumberFormat="1" applyFont="1" applyFill="1" applyBorder="1" applyAlignment="1" applyProtection="0">
      <alignment horizontal="center" vertical="bottom"/>
    </xf>
    <xf numFmtId="0" fontId="7" fillId="2" borderId="89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top" wrapText="1"/>
    </xf>
    <xf numFmtId="49" fontId="10" fillId="6" borderId="58" applyNumberFormat="1" applyFont="1" applyFill="1" applyBorder="1" applyAlignment="1" applyProtection="0">
      <alignment horizontal="left" vertical="center"/>
    </xf>
    <xf numFmtId="0" fontId="10" fillId="6" borderId="10" applyNumberFormat="1" applyFont="1" applyFill="1" applyBorder="1" applyAlignment="1" applyProtection="0">
      <alignment horizontal="left" vertical="center"/>
    </xf>
    <xf numFmtId="0" fontId="0" fillId="7" borderId="11" applyNumberFormat="1" applyFont="1" applyFill="1" applyBorder="1" applyAlignment="1" applyProtection="0">
      <alignment vertical="top" wrapText="1"/>
    </xf>
    <xf numFmtId="0" fontId="11" fillId="2" borderId="90" applyNumberFormat="1" applyFont="1" applyFill="1" applyBorder="1" applyAlignment="1" applyProtection="0">
      <alignment vertical="bottom"/>
    </xf>
    <xf numFmtId="0" fontId="4" fillId="6" borderId="14" applyNumberFormat="1" applyFont="1" applyFill="1" applyBorder="1" applyAlignment="1" applyProtection="0">
      <alignment vertical="bottom"/>
    </xf>
    <xf numFmtId="0" fontId="4" fillId="6" borderId="11" applyNumberFormat="1" applyFont="1" applyFill="1" applyBorder="1" applyAlignment="1" applyProtection="0">
      <alignment vertical="bottom"/>
    </xf>
    <xf numFmtId="0" fontId="4" fillId="6" borderId="12" applyNumberFormat="1" applyFont="1" applyFill="1" applyBorder="1" applyAlignment="1" applyProtection="0">
      <alignment vertical="bottom"/>
    </xf>
    <xf numFmtId="0" fontId="4" fillId="8" borderId="58" applyNumberFormat="1" applyFont="1" applyFill="1" applyBorder="1" applyAlignment="1" applyProtection="0">
      <alignment vertical="bottom"/>
    </xf>
    <xf numFmtId="0" fontId="4" fillId="6" borderId="10" applyNumberFormat="1" applyFont="1" applyFill="1" applyBorder="1" applyAlignment="1" applyProtection="0">
      <alignment vertical="bottom"/>
    </xf>
    <xf numFmtId="49" fontId="12" fillId="6" borderId="11" applyNumberFormat="1" applyFont="1" applyFill="1" applyBorder="1" applyAlignment="1" applyProtection="0">
      <alignment vertical="center"/>
    </xf>
    <xf numFmtId="49" fontId="12" fillId="6" borderId="11" applyNumberFormat="1" applyFont="1" applyFill="1" applyBorder="1" applyAlignment="1" applyProtection="0">
      <alignment vertical="bottom"/>
    </xf>
    <xf numFmtId="49" fontId="12" fillId="6" borderId="11" applyNumberFormat="1" applyFont="1" applyFill="1" applyBorder="1" applyAlignment="1" applyProtection="0">
      <alignment horizontal="left" vertical="center"/>
    </xf>
    <xf numFmtId="0" fontId="12" fillId="6" borderId="11" applyNumberFormat="1" applyFont="1" applyFill="1" applyBorder="1" applyAlignment="1" applyProtection="0">
      <alignment horizontal="left" vertical="bottom"/>
    </xf>
    <xf numFmtId="0" fontId="4" fillId="8" borderId="10" applyNumberFormat="1" applyFont="1" applyFill="1" applyBorder="1" applyAlignment="1" applyProtection="0">
      <alignment vertical="bottom"/>
    </xf>
    <xf numFmtId="49" fontId="13" fillId="6" borderId="58" applyNumberFormat="1" applyFont="1" applyFill="1" applyBorder="1" applyAlignment="1" applyProtection="0">
      <alignment horizontal="center" vertical="center"/>
    </xf>
    <xf numFmtId="49" fontId="14" fillId="6" borderId="58" applyNumberFormat="1" applyFont="1" applyFill="1" applyBorder="1" applyAlignment="1" applyProtection="0">
      <alignment horizontal="center" vertical="center"/>
    </xf>
    <xf numFmtId="49" fontId="15" fillId="2" borderId="58" applyNumberFormat="1" applyFont="1" applyFill="1" applyBorder="1" applyAlignment="1" applyProtection="0">
      <alignment horizontal="center" vertical="center"/>
    </xf>
    <xf numFmtId="0" fontId="15" fillId="2" borderId="10" applyNumberFormat="1" applyFont="1" applyFill="1" applyBorder="1" applyAlignment="1" applyProtection="0">
      <alignment horizontal="center" vertical="center"/>
    </xf>
    <xf numFmtId="49" fontId="10" fillId="2" borderId="10" applyNumberFormat="1" applyFont="1" applyFill="1" applyBorder="1" applyAlignment="1" applyProtection="0">
      <alignment horizontal="center" vertical="center"/>
    </xf>
    <xf numFmtId="0" fontId="11" fillId="2" borderId="58" applyNumberFormat="1" applyFont="1" applyFill="1" applyBorder="1" applyAlignment="1" applyProtection="0">
      <alignment vertical="bottom"/>
    </xf>
    <xf numFmtId="49" fontId="16" fillId="2" borderId="58" applyNumberFormat="1" applyFont="1" applyFill="1" applyBorder="1" applyAlignment="1" applyProtection="0">
      <alignment horizontal="center" vertical="center"/>
    </xf>
    <xf numFmtId="0" fontId="11" fillId="2" borderId="10" applyNumberFormat="1" applyFont="1" applyFill="1" applyBorder="1" applyAlignment="1" applyProtection="0">
      <alignment vertical="bottom"/>
    </xf>
    <xf numFmtId="0" fontId="11" fillId="2" borderId="12" applyNumberFormat="1" applyFont="1" applyFill="1" applyBorder="1" applyAlignment="1" applyProtection="0">
      <alignment vertical="bottom"/>
    </xf>
    <xf numFmtId="0" fontId="11" fillId="2" borderId="91" applyNumberFormat="1" applyFont="1" applyFill="1" applyBorder="1" applyAlignment="1" applyProtection="0">
      <alignment vertical="bottom"/>
    </xf>
    <xf numFmtId="0" fontId="11" fillId="2" borderId="92" applyNumberFormat="1" applyFont="1" applyFill="1" applyBorder="1" applyAlignment="1" applyProtection="0">
      <alignment vertical="bottom"/>
    </xf>
    <xf numFmtId="0" fontId="11" fillId="2" borderId="93" applyNumberFormat="1" applyFont="1" applyFill="1" applyBorder="1" applyAlignment="1" applyProtection="0">
      <alignment vertical="bottom"/>
    </xf>
    <xf numFmtId="0" fontId="4" fillId="2" borderId="94" applyNumberFormat="1" applyFont="1" applyFill="1" applyBorder="1" applyAlignment="1" applyProtection="0">
      <alignment vertical="bottom"/>
    </xf>
    <xf numFmtId="0" fontId="4" fillId="2" borderId="49" applyNumberFormat="1" applyFont="1" applyFill="1" applyBorder="1" applyAlignment="1" applyProtection="0">
      <alignment vertical="bottom"/>
    </xf>
    <xf numFmtId="0" fontId="4" fillId="2" borderId="83" applyNumberFormat="1" applyFont="1" applyFill="1" applyBorder="1" applyAlignment="1" applyProtection="0">
      <alignment vertical="bottom"/>
    </xf>
    <xf numFmtId="0" fontId="4" fillId="2" borderId="95" applyNumberFormat="1" applyFont="1" applyFill="1" applyBorder="1" applyAlignment="1" applyProtection="0">
      <alignment vertical="bottom"/>
    </xf>
    <xf numFmtId="0" fontId="4" fillId="2" borderId="96" applyNumberFormat="1" applyFont="1" applyFill="1" applyBorder="1" applyAlignment="1" applyProtection="0">
      <alignment vertical="bottom"/>
    </xf>
    <xf numFmtId="0" fontId="4" fillId="2" borderId="97" applyNumberFormat="1" applyFont="1" applyFill="1" applyBorder="1" applyAlignment="1" applyProtection="0">
      <alignment vertical="bottom"/>
    </xf>
    <xf numFmtId="0" fontId="4" fillId="2" borderId="58" applyNumberFormat="1" applyFont="1" applyFill="1" applyBorder="1" applyAlignment="1" applyProtection="0">
      <alignment vertical="bottom"/>
    </xf>
    <xf numFmtId="49" fontId="17" fillId="2" borderId="58" applyNumberFormat="1" applyFont="1" applyFill="1" applyBorder="1" applyAlignment="1" applyProtection="0">
      <alignment vertical="bottom"/>
    </xf>
    <xf numFmtId="49" fontId="10" fillId="6" borderId="98" applyNumberFormat="1" applyFont="1" applyFill="1" applyBorder="1" applyAlignment="1" applyProtection="0">
      <alignment horizontal="left" vertical="center"/>
    </xf>
    <xf numFmtId="49" fontId="6" fillId="6" borderId="99" applyNumberFormat="1" applyFont="1" applyFill="1" applyBorder="1" applyAlignment="1" applyProtection="0">
      <alignment vertical="center"/>
    </xf>
    <xf numFmtId="49" fontId="6" fillId="6" borderId="100" applyNumberFormat="1" applyFont="1" applyFill="1" applyBorder="1" applyAlignment="1" applyProtection="0">
      <alignment horizontal="center" vertical="center"/>
    </xf>
    <xf numFmtId="49" fontId="8" fillId="9" borderId="101" applyNumberFormat="1" applyFont="1" applyFill="1" applyBorder="1" applyAlignment="1" applyProtection="0">
      <alignment horizontal="center" vertical="center"/>
    </xf>
    <xf numFmtId="49" fontId="8" fillId="10" borderId="102" applyNumberFormat="1" applyFont="1" applyFill="1" applyBorder="1" applyAlignment="1" applyProtection="0">
      <alignment horizontal="center" vertical="center"/>
    </xf>
    <xf numFmtId="49" fontId="8" fillId="11" borderId="103" applyNumberFormat="1" applyFont="1" applyFill="1" applyBorder="1" applyAlignment="1" applyProtection="0">
      <alignment horizontal="center" vertical="center"/>
    </xf>
    <xf numFmtId="49" fontId="8" fillId="12" borderId="103" applyNumberFormat="1" applyFont="1" applyFill="1" applyBorder="1" applyAlignment="1" applyProtection="0">
      <alignment horizontal="center" vertical="center"/>
    </xf>
    <xf numFmtId="49" fontId="8" fillId="13" borderId="103" applyNumberFormat="1" applyFont="1" applyFill="1" applyBorder="1" applyAlignment="1" applyProtection="0">
      <alignment horizontal="center" vertical="center"/>
    </xf>
    <xf numFmtId="49" fontId="8" fillId="14" borderId="103" applyNumberFormat="1" applyFont="1" applyFill="1" applyBorder="1" applyAlignment="1" applyProtection="0">
      <alignment horizontal="center" vertical="center"/>
    </xf>
    <xf numFmtId="49" fontId="8" fillId="15" borderId="103" applyNumberFormat="1" applyFont="1" applyFill="1" applyBorder="1" applyAlignment="1" applyProtection="0">
      <alignment horizontal="center" vertical="center"/>
    </xf>
    <xf numFmtId="49" fontId="8" fillId="16" borderId="103" applyNumberFormat="1" applyFont="1" applyFill="1" applyBorder="1" applyAlignment="1" applyProtection="0">
      <alignment horizontal="center" vertical="center"/>
    </xf>
    <xf numFmtId="49" fontId="18" fillId="8" borderId="103" applyNumberFormat="1" applyFont="1" applyFill="1" applyBorder="1" applyAlignment="1" applyProtection="0">
      <alignment horizontal="center" vertical="center"/>
    </xf>
    <xf numFmtId="49" fontId="8" fillId="2" borderId="104" applyNumberFormat="1" applyFont="1" applyFill="1" applyBorder="1" applyAlignment="1" applyProtection="0">
      <alignment horizontal="center" vertical="center"/>
    </xf>
    <xf numFmtId="49" fontId="6" fillId="6" borderId="74" applyNumberFormat="1" applyFont="1" applyFill="1" applyBorder="1" applyAlignment="1" applyProtection="0">
      <alignment horizontal="center" vertical="center"/>
    </xf>
    <xf numFmtId="49" fontId="8" fillId="17" borderId="102" applyNumberFormat="1" applyFont="1" applyFill="1" applyBorder="1" applyAlignment="1" applyProtection="0">
      <alignment horizontal="center" vertical="center"/>
    </xf>
    <xf numFmtId="49" fontId="8" fillId="18" borderId="103" applyNumberFormat="1" applyFont="1" applyFill="1" applyBorder="1" applyAlignment="1" applyProtection="0">
      <alignment horizontal="center" vertical="center"/>
    </xf>
    <xf numFmtId="49" fontId="8" fillId="19" borderId="103" applyNumberFormat="1" applyFont="1" applyFill="1" applyBorder="1" applyAlignment="1" applyProtection="0">
      <alignment horizontal="center" vertical="center"/>
    </xf>
    <xf numFmtId="49" fontId="8" fillId="20" borderId="103" applyNumberFormat="1" applyFont="1" applyFill="1" applyBorder="1" applyAlignment="1" applyProtection="0">
      <alignment horizontal="center" vertical="center"/>
    </xf>
    <xf numFmtId="49" fontId="8" fillId="21" borderId="104" applyNumberFormat="1" applyFont="1" applyFill="1" applyBorder="1" applyAlignment="1" applyProtection="0">
      <alignment horizontal="center" vertical="center"/>
    </xf>
    <xf numFmtId="49" fontId="6" fillId="6" borderId="74" applyNumberFormat="1" applyFont="1" applyFill="1" applyBorder="1" applyAlignment="1" applyProtection="0">
      <alignment horizontal="center" vertical="bottom"/>
    </xf>
    <xf numFmtId="49" fontId="6" fillId="6" borderId="41" applyNumberFormat="1" applyFont="1" applyFill="1" applyBorder="1" applyAlignment="1" applyProtection="0">
      <alignment horizontal="center" vertical="bottom"/>
    </xf>
    <xf numFmtId="49" fontId="6" fillId="6" borderId="105" applyNumberFormat="1" applyFont="1" applyFill="1" applyBorder="1" applyAlignment="1" applyProtection="0">
      <alignment horizontal="center" vertical="bottom"/>
    </xf>
    <xf numFmtId="49" fontId="19" fillId="6" borderId="41" applyNumberFormat="1" applyFont="1" applyFill="1" applyBorder="1" applyAlignment="1" applyProtection="0">
      <alignment horizontal="center" vertical="bottom" wrapText="1"/>
    </xf>
    <xf numFmtId="49" fontId="19" fillId="6" borderId="47" applyNumberFormat="1" applyFont="1" applyFill="1" applyBorder="1" applyAlignment="1" applyProtection="0">
      <alignment vertical="bottom" wrapText="1"/>
    </xf>
    <xf numFmtId="49" fontId="19" fillId="6" borderId="47" applyNumberFormat="1" applyFont="1" applyFill="1" applyBorder="1" applyAlignment="1" applyProtection="0">
      <alignment horizontal="center" vertical="bottom" wrapText="1"/>
    </xf>
    <xf numFmtId="49" fontId="19" fillId="6" borderId="105" applyNumberFormat="1" applyFont="1" applyFill="1" applyBorder="1" applyAlignment="1" applyProtection="0">
      <alignment vertical="bottom" wrapText="1"/>
    </xf>
    <xf numFmtId="49" fontId="10" fillId="6" borderId="74" applyNumberFormat="1" applyFont="1" applyFill="1" applyBorder="1" applyAlignment="1" applyProtection="0">
      <alignment vertical="bottom"/>
    </xf>
    <xf numFmtId="49" fontId="10" fillId="8" borderId="74" applyNumberFormat="1" applyFont="1" applyFill="1" applyBorder="1" applyAlignment="1" applyProtection="0">
      <alignment vertical="bottom"/>
    </xf>
    <xf numFmtId="49" fontId="10" fillId="6" borderId="10" applyNumberFormat="1" applyFont="1" applyFill="1" applyBorder="1" applyAlignment="1" applyProtection="0">
      <alignment vertical="bottom"/>
    </xf>
    <xf numFmtId="49" fontId="10" fillId="6" borderId="11" applyNumberFormat="1" applyFont="1" applyFill="1" applyBorder="1" applyAlignment="1" applyProtection="0">
      <alignment vertical="bottom"/>
    </xf>
    <xf numFmtId="49" fontId="20" fillId="6" borderId="11" applyNumberFormat="1" applyFont="1" applyFill="1" applyBorder="1" applyAlignment="1" applyProtection="0">
      <alignment vertical="center"/>
    </xf>
    <xf numFmtId="49" fontId="10" fillId="6" borderId="13" applyNumberFormat="1" applyFont="1" applyFill="1" applyBorder="1" applyAlignment="1" applyProtection="0">
      <alignment vertical="bottom"/>
    </xf>
    <xf numFmtId="49" fontId="10" fillId="8" borderId="106" applyNumberFormat="1" applyFont="1" applyFill="1" applyBorder="1" applyAlignment="1" applyProtection="0">
      <alignment vertical="bottom"/>
    </xf>
    <xf numFmtId="49" fontId="10" fillId="6" borderId="12" applyNumberFormat="1" applyFont="1" applyFill="1" applyBorder="1" applyAlignment="1" applyProtection="0">
      <alignment vertical="bottom"/>
    </xf>
    <xf numFmtId="49" fontId="10" fillId="6" borderId="58" applyNumberFormat="1" applyFont="1" applyFill="1" applyBorder="1" applyAlignment="1" applyProtection="0">
      <alignment vertical="bottom"/>
    </xf>
    <xf numFmtId="0" fontId="6" fillId="2" borderId="58" applyNumberFormat="1" applyFont="1" applyFill="1" applyBorder="1" applyAlignment="1" applyProtection="0">
      <alignment horizontal="left" vertical="bottom"/>
    </xf>
    <xf numFmtId="0" fontId="6" fillId="2" borderId="10" applyNumberFormat="1" applyFont="1" applyFill="1" applyBorder="1" applyAlignment="1" applyProtection="0">
      <alignment horizontal="left" vertical="bottom"/>
    </xf>
    <xf numFmtId="0" fontId="6" fillId="2" borderId="11" applyNumberFormat="1" applyFont="1" applyFill="1" applyBorder="1" applyAlignment="1" applyProtection="0">
      <alignment vertical="bottom"/>
    </xf>
    <xf numFmtId="0" fontId="6" fillId="2" borderId="12" applyNumberFormat="1" applyFont="1" applyFill="1" applyBorder="1" applyAlignment="1" applyProtection="0">
      <alignment horizontal="center" vertical="bottom"/>
    </xf>
    <xf numFmtId="0" fontId="4" fillId="2" borderId="107" applyNumberFormat="1" applyFont="1" applyFill="1" applyBorder="1" applyAlignment="1" applyProtection="0">
      <alignment vertical="bottom"/>
    </xf>
    <xf numFmtId="0" fontId="4" fillId="2" borderId="108" applyNumberFormat="1" applyFont="1" applyFill="1" applyBorder="1" applyAlignment="1" applyProtection="0">
      <alignment vertical="bottom"/>
    </xf>
    <xf numFmtId="0" fontId="4" fillId="2" borderId="109" applyNumberFormat="1" applyFont="1" applyFill="1" applyBorder="1" applyAlignment="1" applyProtection="0">
      <alignment vertical="bottom"/>
    </xf>
    <xf numFmtId="0" fontId="4" fillId="2" borderId="110" applyNumberFormat="1" applyFont="1" applyFill="1" applyBorder="1" applyAlignment="1" applyProtection="0">
      <alignment vertical="bottom"/>
    </xf>
    <xf numFmtId="49" fontId="21" fillId="2" borderId="80" applyNumberFormat="1" applyFont="1" applyFill="1" applyBorder="1" applyAlignment="1" applyProtection="0">
      <alignment horizontal="center" vertical="center"/>
    </xf>
    <xf numFmtId="49" fontId="22" fillId="2" borderId="80" applyNumberFormat="1" applyFont="1" applyFill="1" applyBorder="1" applyAlignment="1" applyProtection="0">
      <alignment horizontal="center" vertical="center"/>
    </xf>
    <xf numFmtId="0" fontId="6" fillId="2" borderId="111" applyNumberFormat="1" applyFont="1" applyFill="1" applyBorder="1" applyAlignment="1" applyProtection="0">
      <alignment horizontal="center" vertical="bottom"/>
    </xf>
    <xf numFmtId="0" fontId="6" fillId="2" borderId="112" applyNumberFormat="1" applyFont="1" applyFill="1" applyBorder="1" applyAlignment="1" applyProtection="0">
      <alignment horizontal="center" vertical="bottom"/>
    </xf>
    <xf numFmtId="0" fontId="4" fillId="2" borderId="113" applyNumberFormat="1" applyFont="1" applyFill="1" applyBorder="1" applyAlignment="1" applyProtection="0">
      <alignment vertical="bottom"/>
    </xf>
    <xf numFmtId="49" fontId="19" fillId="2" borderId="80" applyNumberFormat="1" applyFont="1" applyFill="1" applyBorder="1" applyAlignment="1" applyProtection="0">
      <alignment vertical="center" wrapText="1"/>
    </xf>
    <xf numFmtId="49" fontId="19" fillId="8" borderId="111" applyNumberFormat="1" applyFont="1" applyFill="1" applyBorder="1" applyAlignment="1" applyProtection="0">
      <alignment vertical="center" wrapText="1"/>
    </xf>
    <xf numFmtId="49" fontId="19" fillId="2" borderId="14" applyNumberFormat="1" applyFont="1" applyFill="1" applyBorder="1" applyAlignment="1" applyProtection="0">
      <alignment vertical="center" wrapText="1"/>
    </xf>
    <xf numFmtId="49" fontId="19" fillId="2" borderId="11" applyNumberFormat="1" applyFont="1" applyFill="1" applyBorder="1" applyAlignment="1" applyProtection="0">
      <alignment vertical="center" wrapText="1"/>
    </xf>
    <xf numFmtId="49" fontId="19" fillId="2" borderId="13" applyNumberFormat="1" applyFont="1" applyFill="1" applyBorder="1" applyAlignment="1" applyProtection="0">
      <alignment vertical="center" wrapText="1"/>
    </xf>
    <xf numFmtId="49" fontId="19" fillId="8" borderId="38" applyNumberFormat="1" applyFont="1" applyFill="1" applyBorder="1" applyAlignment="1" applyProtection="0">
      <alignment vertical="center" wrapText="1"/>
    </xf>
    <xf numFmtId="49" fontId="19" fillId="2" borderId="12" applyNumberFormat="1" applyFont="1" applyFill="1" applyBorder="1" applyAlignment="1" applyProtection="0">
      <alignment vertical="center" wrapText="1"/>
    </xf>
    <xf numFmtId="49" fontId="19" fillId="2" borderId="58" applyNumberFormat="1" applyFont="1" applyFill="1" applyBorder="1" applyAlignment="1" applyProtection="0">
      <alignment vertical="center" wrapText="1"/>
    </xf>
    <xf numFmtId="49" fontId="10" fillId="22" borderId="58" applyNumberFormat="1" applyFont="1" applyFill="1" applyBorder="1" applyAlignment="1" applyProtection="0">
      <alignment horizontal="left" vertical="center"/>
    </xf>
    <xf numFmtId="0" fontId="10" fillId="22" borderId="10" applyNumberFormat="1" applyFont="1" applyFill="1" applyBorder="1" applyAlignment="1" applyProtection="0">
      <alignment horizontal="left" vertical="center"/>
    </xf>
    <xf numFmtId="0" fontId="4" fillId="6" borderId="114" applyNumberFormat="1" applyFont="1" applyFill="1" applyBorder="1" applyAlignment="1" applyProtection="0">
      <alignment vertical="bottom"/>
    </xf>
    <xf numFmtId="0" fontId="4" fillId="8" borderId="115" applyNumberFormat="1" applyFont="1" applyFill="1" applyBorder="1" applyAlignment="1" applyProtection="0">
      <alignment vertical="bottom"/>
    </xf>
    <xf numFmtId="0" fontId="14" fillId="6" borderId="115" applyNumberFormat="1" applyFont="1" applyFill="1" applyBorder="1" applyAlignment="1" applyProtection="0">
      <alignment horizontal="center" vertical="center"/>
    </xf>
    <xf numFmtId="0" fontId="14" fillId="6" borderId="116" applyNumberFormat="1" applyFont="1" applyFill="1" applyBorder="1" applyAlignment="1" applyProtection="0">
      <alignment horizontal="center" vertical="center"/>
    </xf>
    <xf numFmtId="0" fontId="14" fillId="6" borderId="114" applyNumberFormat="1" applyFont="1" applyFill="1" applyBorder="1" applyAlignment="1" applyProtection="0">
      <alignment horizontal="center" vertical="center"/>
    </xf>
    <xf numFmtId="0" fontId="4" fillId="8" borderId="41" applyNumberFormat="1" applyFont="1" applyFill="1" applyBorder="1" applyAlignment="1" applyProtection="0">
      <alignment vertical="bottom"/>
    </xf>
    <xf numFmtId="49" fontId="14" fillId="6" borderId="116" applyNumberFormat="1" applyFont="1" applyFill="1" applyBorder="1" applyAlignment="1" applyProtection="0">
      <alignment horizontal="center" vertical="center"/>
    </xf>
    <xf numFmtId="49" fontId="1" fillId="7" borderId="58" applyNumberFormat="1" applyFont="1" applyFill="1" applyBorder="1" applyAlignment="1" applyProtection="0">
      <alignment vertical="top" wrapText="1"/>
    </xf>
    <xf numFmtId="49" fontId="1" fillId="7" borderId="58" applyNumberFormat="1" applyFont="1" applyFill="1" applyBorder="1" applyAlignment="1" applyProtection="0">
      <alignment horizontal="left" vertical="center" wrapText="1"/>
    </xf>
    <xf numFmtId="0" fontId="0" fillId="7" borderId="41" applyNumberFormat="1" applyFont="1" applyFill="1" applyBorder="1" applyAlignment="1" applyProtection="0">
      <alignment horizontal="center" vertical="top" wrapText="1"/>
    </xf>
    <xf numFmtId="61" fontId="0" fillId="7" borderId="105" applyNumberFormat="1" applyFont="1" applyFill="1" applyBorder="1" applyAlignment="1" applyProtection="0">
      <alignment vertical="top" wrapText="1"/>
    </xf>
    <xf numFmtId="0" fontId="6" fillId="9" borderId="41" applyNumberFormat="0" applyFont="1" applyFill="1" applyBorder="1" applyAlignment="1" applyProtection="0">
      <alignment horizontal="center" vertical="bottom"/>
    </xf>
    <xf numFmtId="0" fontId="6" fillId="10" borderId="47" applyNumberFormat="1" applyFont="1" applyFill="1" applyBorder="1" applyAlignment="1" applyProtection="0">
      <alignment horizontal="center" vertical="bottom"/>
    </xf>
    <xf numFmtId="0" fontId="6" fillId="23" borderId="47" applyNumberFormat="1" applyFont="1" applyFill="1" applyBorder="1" applyAlignment="1" applyProtection="0">
      <alignment horizontal="center" vertical="bottom"/>
    </xf>
    <xf numFmtId="0" fontId="6" fillId="24" borderId="47" applyNumberFormat="1" applyFont="1" applyFill="1" applyBorder="1" applyAlignment="1" applyProtection="0">
      <alignment horizontal="center" vertical="bottom"/>
    </xf>
    <xf numFmtId="0" fontId="6" fillId="13" borderId="47" applyNumberFormat="1" applyFont="1" applyFill="1" applyBorder="1" applyAlignment="1" applyProtection="0">
      <alignment horizontal="center" vertical="bottom"/>
    </xf>
    <xf numFmtId="0" fontId="6" fillId="25" borderId="47" applyNumberFormat="1" applyFont="1" applyFill="1" applyBorder="1" applyAlignment="1" applyProtection="0">
      <alignment horizontal="center" vertical="bottom"/>
    </xf>
    <xf numFmtId="0" fontId="6" fillId="15" borderId="47" applyNumberFormat="1" applyFont="1" applyFill="1" applyBorder="1" applyAlignment="1" applyProtection="0">
      <alignment horizontal="center" vertical="bottom"/>
    </xf>
    <xf numFmtId="0" fontId="6" fillId="26" borderId="47" applyNumberFormat="1" applyFont="1" applyFill="1" applyBorder="1" applyAlignment="1" applyProtection="0">
      <alignment horizontal="center" vertical="bottom"/>
    </xf>
    <xf numFmtId="0" fontId="6" fillId="16" borderId="47" applyNumberFormat="1" applyFont="1" applyFill="1" applyBorder="1" applyAlignment="1" applyProtection="0">
      <alignment horizontal="center" vertical="bottom"/>
    </xf>
    <xf numFmtId="0" fontId="6" fillId="2" borderId="105" applyNumberFormat="1" applyFont="1" applyFill="1" applyBorder="1" applyAlignment="1" applyProtection="0">
      <alignment horizontal="center" vertical="bottom"/>
    </xf>
    <xf numFmtId="0" fontId="6" fillId="7" borderId="74" applyNumberFormat="1" applyFont="1" applyFill="1" applyBorder="1" applyAlignment="1" applyProtection="0">
      <alignment horizontal="center" vertical="bottom"/>
    </xf>
    <xf numFmtId="0" fontId="6" fillId="17" borderId="41" applyNumberFormat="1" applyFont="1" applyFill="1" applyBorder="1" applyAlignment="1" applyProtection="0">
      <alignment horizontal="center" vertical="bottom"/>
    </xf>
    <xf numFmtId="0" fontId="6" fillId="18" borderId="47" applyNumberFormat="1" applyFont="1" applyFill="1" applyBorder="1" applyAlignment="1" applyProtection="0">
      <alignment horizontal="center" vertical="bottom"/>
    </xf>
    <xf numFmtId="0" fontId="6" fillId="27" borderId="47" applyNumberFormat="1" applyFont="1" applyFill="1" applyBorder="1" applyAlignment="1" applyProtection="0">
      <alignment horizontal="center" vertical="bottom"/>
    </xf>
    <xf numFmtId="0" fontId="6" fillId="20" borderId="47" applyNumberFormat="1" applyFont="1" applyFill="1" applyBorder="1" applyAlignment="1" applyProtection="0">
      <alignment horizontal="center" vertical="bottom"/>
    </xf>
    <xf numFmtId="0" fontId="6" fillId="28" borderId="105" applyNumberFormat="0" applyFont="1" applyFill="1" applyBorder="1" applyAlignment="1" applyProtection="0">
      <alignment horizontal="center" vertical="bottom"/>
    </xf>
    <xf numFmtId="0" fontId="11" fillId="7" borderId="74" applyNumberFormat="1" applyFont="1" applyFill="1" applyBorder="1" applyAlignment="1" applyProtection="0">
      <alignment horizontal="center" vertical="bottom"/>
    </xf>
    <xf numFmtId="49" fontId="11" fillId="29" borderId="58" applyNumberFormat="1" applyFont="1" applyFill="1" applyBorder="1" applyAlignment="1" applyProtection="0">
      <alignment horizontal="center" vertical="bottom"/>
    </xf>
    <xf numFmtId="0" fontId="11" fillId="7" borderId="41" applyNumberFormat="1" applyFont="1" applyFill="1" applyBorder="1" applyAlignment="1" applyProtection="0">
      <alignment vertical="bottom"/>
    </xf>
    <xf numFmtId="61" fontId="11" fillId="7" borderId="105" applyNumberFormat="1" applyFont="1" applyFill="1" applyBorder="1" applyAlignment="1" applyProtection="0">
      <alignment vertical="bottom"/>
    </xf>
    <xf numFmtId="0" fontId="4" fillId="7" borderId="41" applyNumberFormat="1" applyFont="1" applyFill="1" applyBorder="1" applyAlignment="1" applyProtection="0">
      <alignment vertical="bottom"/>
    </xf>
    <xf numFmtId="0" fontId="4" fillId="7" borderId="47" applyNumberFormat="1" applyFont="1" applyFill="1" applyBorder="1" applyAlignment="1" applyProtection="0">
      <alignment vertical="bottom"/>
    </xf>
    <xf numFmtId="0" fontId="4" fillId="7" borderId="105" applyNumberFormat="1" applyFont="1" applyFill="1" applyBorder="1" applyAlignment="1" applyProtection="0">
      <alignment vertical="bottom"/>
    </xf>
    <xf numFmtId="0" fontId="4" fillId="8" borderId="47" applyNumberFormat="1" applyFont="1" applyFill="1" applyBorder="1" applyAlignment="1" applyProtection="0">
      <alignment vertical="bottom"/>
    </xf>
    <xf numFmtId="0" fontId="13" fillId="7" borderId="47" applyNumberFormat="1" applyFont="1" applyFill="1" applyBorder="1" applyAlignment="1" applyProtection="0">
      <alignment horizontal="center" vertical="center"/>
    </xf>
    <xf numFmtId="0" fontId="13" fillId="7" borderId="105" applyNumberFormat="1" applyFont="1" applyFill="1" applyBorder="1" applyAlignment="1" applyProtection="0">
      <alignment horizontal="center" vertical="center"/>
    </xf>
    <xf numFmtId="0" fontId="13" fillId="7" borderId="41" applyNumberFormat="1" applyFont="1" applyFill="1" applyBorder="1" applyAlignment="1" applyProtection="0">
      <alignment horizontal="center" vertical="center"/>
    </xf>
    <xf numFmtId="0" fontId="11" fillId="8" borderId="117" applyNumberFormat="1" applyFont="1" applyFill="1" applyBorder="1" applyAlignment="1" applyProtection="0">
      <alignment vertical="bottom"/>
    </xf>
    <xf numFmtId="0" fontId="13" fillId="7" borderId="74" applyNumberFormat="1" applyFont="1" applyFill="1" applyBorder="1" applyAlignment="1" applyProtection="0">
      <alignment horizontal="center" vertical="center"/>
    </xf>
    <xf numFmtId="0" fontId="0" fillId="7" borderId="71" applyNumberFormat="1" applyFont="1" applyFill="1" applyBorder="1" applyAlignment="1" applyProtection="0">
      <alignment horizontal="center" vertical="top" wrapText="1"/>
    </xf>
    <xf numFmtId="61" fontId="0" fillId="7" borderId="118" applyNumberFormat="1" applyFont="1" applyFill="1" applyBorder="1" applyAlignment="1" applyProtection="0">
      <alignment vertical="top" wrapText="1"/>
    </xf>
    <xf numFmtId="0" fontId="6" fillId="9" borderId="71" applyNumberFormat="0" applyFont="1" applyFill="1" applyBorder="1" applyAlignment="1" applyProtection="0">
      <alignment horizontal="center" vertical="bottom"/>
    </xf>
    <xf numFmtId="0" fontId="6" fillId="10" borderId="117" applyNumberFormat="1" applyFont="1" applyFill="1" applyBorder="1" applyAlignment="1" applyProtection="0">
      <alignment horizontal="center" vertical="bottom"/>
    </xf>
    <xf numFmtId="0" fontId="6" fillId="23" borderId="117" applyNumberFormat="1" applyFont="1" applyFill="1" applyBorder="1" applyAlignment="1" applyProtection="0">
      <alignment horizontal="center" vertical="bottom"/>
    </xf>
    <xf numFmtId="0" fontId="6" fillId="24" borderId="117" applyNumberFormat="1" applyFont="1" applyFill="1" applyBorder="1" applyAlignment="1" applyProtection="0">
      <alignment horizontal="center" vertical="bottom"/>
    </xf>
    <xf numFmtId="0" fontId="6" fillId="13" borderId="117" applyNumberFormat="1" applyFont="1" applyFill="1" applyBorder="1" applyAlignment="1" applyProtection="0">
      <alignment horizontal="center" vertical="bottom"/>
    </xf>
    <xf numFmtId="0" fontId="6" fillId="25" borderId="117" applyNumberFormat="1" applyFont="1" applyFill="1" applyBorder="1" applyAlignment="1" applyProtection="0">
      <alignment horizontal="center" vertical="bottom"/>
    </xf>
    <xf numFmtId="0" fontId="6" fillId="15" borderId="117" applyNumberFormat="1" applyFont="1" applyFill="1" applyBorder="1" applyAlignment="1" applyProtection="0">
      <alignment horizontal="center" vertical="bottom"/>
    </xf>
    <xf numFmtId="0" fontId="6" fillId="26" borderId="117" applyNumberFormat="1" applyFont="1" applyFill="1" applyBorder="1" applyAlignment="1" applyProtection="0">
      <alignment horizontal="center" vertical="bottom"/>
    </xf>
    <xf numFmtId="0" fontId="6" fillId="16" borderId="117" applyNumberFormat="1" applyFont="1" applyFill="1" applyBorder="1" applyAlignment="1" applyProtection="0">
      <alignment horizontal="center" vertical="bottom"/>
    </xf>
    <xf numFmtId="0" fontId="6" fillId="2" borderId="118" applyNumberFormat="1" applyFont="1" applyFill="1" applyBorder="1" applyAlignment="1" applyProtection="0">
      <alignment horizontal="center" vertical="bottom"/>
    </xf>
    <xf numFmtId="0" fontId="6" fillId="7" borderId="119" applyNumberFormat="1" applyFont="1" applyFill="1" applyBorder="1" applyAlignment="1" applyProtection="0">
      <alignment horizontal="center" vertical="bottom"/>
    </xf>
    <xf numFmtId="0" fontId="6" fillId="17" borderId="71" applyNumberFormat="1" applyFont="1" applyFill="1" applyBorder="1" applyAlignment="1" applyProtection="0">
      <alignment horizontal="center" vertical="bottom"/>
    </xf>
    <xf numFmtId="0" fontId="6" fillId="18" borderId="117" applyNumberFormat="1" applyFont="1" applyFill="1" applyBorder="1" applyAlignment="1" applyProtection="0">
      <alignment horizontal="center" vertical="bottom"/>
    </xf>
    <xf numFmtId="0" fontId="6" fillId="27" borderId="117" applyNumberFormat="1" applyFont="1" applyFill="1" applyBorder="1" applyAlignment="1" applyProtection="0">
      <alignment horizontal="center" vertical="bottom"/>
    </xf>
    <xf numFmtId="0" fontId="6" fillId="20" borderId="117" applyNumberFormat="1" applyFont="1" applyFill="1" applyBorder="1" applyAlignment="1" applyProtection="0">
      <alignment horizontal="center" vertical="bottom"/>
    </xf>
    <xf numFmtId="0" fontId="6" fillId="28" borderId="118" applyNumberFormat="0" applyFont="1" applyFill="1" applyBorder="1" applyAlignment="1" applyProtection="0">
      <alignment horizontal="center" vertical="bottom"/>
    </xf>
    <xf numFmtId="0" fontId="11" fillId="7" borderId="119" applyNumberFormat="1" applyFont="1" applyFill="1" applyBorder="1" applyAlignment="1" applyProtection="0">
      <alignment horizontal="center" vertical="bottom"/>
    </xf>
    <xf numFmtId="0" fontId="11" fillId="7" borderId="71" applyNumberFormat="1" applyFont="1" applyFill="1" applyBorder="1" applyAlignment="1" applyProtection="0">
      <alignment vertical="bottom"/>
    </xf>
    <xf numFmtId="61" fontId="11" fillId="7" borderId="118" applyNumberFormat="1" applyFont="1" applyFill="1" applyBorder="1" applyAlignment="1" applyProtection="0">
      <alignment vertical="bottom"/>
    </xf>
    <xf numFmtId="0" fontId="4" fillId="7" borderId="71" applyNumberFormat="1" applyFont="1" applyFill="1" applyBorder="1" applyAlignment="1" applyProtection="0">
      <alignment vertical="bottom"/>
    </xf>
    <xf numFmtId="0" fontId="4" fillId="7" borderId="117" applyNumberFormat="1" applyFont="1" applyFill="1" applyBorder="1" applyAlignment="1" applyProtection="0">
      <alignment vertical="bottom"/>
    </xf>
    <xf numFmtId="0" fontId="11" fillId="7" borderId="118" applyNumberFormat="1" applyFont="1" applyFill="1" applyBorder="1" applyAlignment="1" applyProtection="0">
      <alignment vertical="bottom"/>
    </xf>
    <xf numFmtId="0" fontId="10" fillId="7" borderId="117" applyNumberFormat="1" applyFont="1" applyFill="1" applyBorder="1" applyAlignment="1" applyProtection="0">
      <alignment horizontal="center" vertical="center"/>
    </xf>
    <xf numFmtId="0" fontId="10" fillId="7" borderId="118" applyNumberFormat="1" applyFont="1" applyFill="1" applyBorder="1" applyAlignment="1" applyProtection="0">
      <alignment horizontal="center" vertical="center"/>
    </xf>
    <xf numFmtId="0" fontId="10" fillId="7" borderId="71" applyNumberFormat="1" applyFont="1" applyFill="1" applyBorder="1" applyAlignment="1" applyProtection="0">
      <alignment horizontal="center" vertical="center"/>
    </xf>
    <xf numFmtId="0" fontId="10" fillId="7" borderId="119" applyNumberFormat="1" applyFont="1" applyFill="1" applyBorder="1" applyAlignment="1" applyProtection="0">
      <alignment horizontal="center" vertical="center"/>
    </xf>
    <xf numFmtId="0" fontId="4" fillId="7" borderId="118" applyNumberFormat="1" applyFont="1" applyFill="1" applyBorder="1" applyAlignment="1" applyProtection="0">
      <alignment vertical="bottom"/>
    </xf>
    <xf numFmtId="0" fontId="4" fillId="8" borderId="117" applyNumberFormat="1" applyFont="1" applyFill="1" applyBorder="1" applyAlignment="1" applyProtection="0">
      <alignment vertical="bottom"/>
    </xf>
    <xf numFmtId="0" fontId="13" fillId="7" borderId="117" applyNumberFormat="1" applyFont="1" applyFill="1" applyBorder="1" applyAlignment="1" applyProtection="0">
      <alignment horizontal="center" vertical="center"/>
    </xf>
    <xf numFmtId="0" fontId="13" fillId="7" borderId="118" applyNumberFormat="1" applyFont="1" applyFill="1" applyBorder="1" applyAlignment="1" applyProtection="0">
      <alignment horizontal="center" vertical="center"/>
    </xf>
    <xf numFmtId="0" fontId="13" fillId="7" borderId="71" applyNumberFormat="1" applyFont="1" applyFill="1" applyBorder="1" applyAlignment="1" applyProtection="0">
      <alignment horizontal="center" vertical="center"/>
    </xf>
    <xf numFmtId="0" fontId="13" fillId="7" borderId="119" applyNumberFormat="1" applyFont="1" applyFill="1" applyBorder="1" applyAlignment="1" applyProtection="0">
      <alignment horizontal="center" vertical="center"/>
    </xf>
    <xf numFmtId="49" fontId="0" fillId="7" borderId="71" applyNumberFormat="1" applyFont="1" applyFill="1" applyBorder="1" applyAlignment="1" applyProtection="0">
      <alignment horizontal="center" vertical="top" wrapText="1"/>
    </xf>
    <xf numFmtId="49" fontId="19" fillId="7" borderId="118" applyNumberFormat="1" applyFont="1" applyFill="1" applyBorder="1" applyAlignment="1" applyProtection="0">
      <alignment horizontal="center" vertical="top" wrapText="1"/>
    </xf>
    <xf numFmtId="0" fontId="25" fillId="7" borderId="119" applyNumberFormat="1" applyFont="1" applyFill="1" applyBorder="1" applyAlignment="1" applyProtection="0">
      <alignment horizontal="right" vertical="center"/>
    </xf>
    <xf numFmtId="0" fontId="4" fillId="8" borderId="71" applyNumberFormat="1" applyFont="1" applyFill="1" applyBorder="1" applyAlignment="1" applyProtection="0">
      <alignment vertical="bottom"/>
    </xf>
    <xf numFmtId="49" fontId="10" fillId="7" borderId="119" applyNumberFormat="1" applyFont="1" applyFill="1" applyBorder="1" applyAlignment="1" applyProtection="0">
      <alignment horizontal="center" vertical="bottom"/>
    </xf>
    <xf numFmtId="0" fontId="6" fillId="24" borderId="117" applyNumberFormat="0" applyFont="1" applyFill="1" applyBorder="1" applyAlignment="1" applyProtection="0">
      <alignment horizontal="center" vertical="bottom"/>
    </xf>
    <xf numFmtId="49" fontId="13" fillId="7" borderId="118" applyNumberFormat="1" applyFont="1" applyFill="1" applyBorder="1" applyAlignment="1" applyProtection="0">
      <alignment horizontal="center" vertical="center"/>
    </xf>
    <xf numFmtId="1" fontId="0" fillId="7" borderId="71" applyNumberFormat="1" applyFont="1" applyFill="1" applyBorder="1" applyAlignment="1" applyProtection="0">
      <alignment horizontal="center" vertical="top" wrapText="1"/>
    </xf>
    <xf numFmtId="49" fontId="10" fillId="7" borderId="118" applyNumberFormat="1" applyFont="1" applyFill="1" applyBorder="1" applyAlignment="1" applyProtection="0">
      <alignment horizontal="center" vertical="center"/>
    </xf>
    <xf numFmtId="49" fontId="1" fillId="7" borderId="74" applyNumberFormat="1" applyFont="1" applyFill="1" applyBorder="1" applyAlignment="1" applyProtection="0">
      <alignment vertical="top" wrapText="1"/>
    </xf>
    <xf numFmtId="49" fontId="1" fillId="7" borderId="71" applyNumberFormat="1" applyFont="1" applyFill="1" applyBorder="1" applyAlignment="1" applyProtection="0">
      <alignment vertical="top" wrapText="1"/>
    </xf>
    <xf numFmtId="49" fontId="1" fillId="7" borderId="116" applyNumberFormat="1" applyFont="1" applyFill="1" applyBorder="1" applyAlignment="1" applyProtection="0">
      <alignment horizontal="left" vertical="center" wrapText="1"/>
    </xf>
    <xf numFmtId="49" fontId="1" fillId="7" borderId="80" applyNumberFormat="1" applyFont="1" applyFill="1" applyBorder="1" applyAlignment="1" applyProtection="0">
      <alignment vertical="top" wrapText="1"/>
    </xf>
    <xf numFmtId="0" fontId="11" fillId="7" borderId="117" applyNumberFormat="1" applyFont="1" applyFill="1" applyBorder="1" applyAlignment="1" applyProtection="0">
      <alignment vertical="bottom"/>
    </xf>
    <xf numFmtId="0" fontId="6" fillId="23" borderId="117" applyNumberFormat="0" applyFont="1" applyFill="1" applyBorder="1" applyAlignment="1" applyProtection="0">
      <alignment horizontal="center" vertical="bottom"/>
    </xf>
    <xf numFmtId="0" fontId="6" fillId="27" borderId="117" applyNumberFormat="0" applyFont="1" applyFill="1" applyBorder="1" applyAlignment="1" applyProtection="0">
      <alignment horizontal="center" vertical="bottom"/>
    </xf>
    <xf numFmtId="1" fontId="0" fillId="7" borderId="111" applyNumberFormat="1" applyFont="1" applyFill="1" applyBorder="1" applyAlignment="1" applyProtection="0">
      <alignment horizontal="center" vertical="top" wrapText="1"/>
    </xf>
    <xf numFmtId="61" fontId="0" fillId="7" borderId="112" applyNumberFormat="1" applyFont="1" applyFill="1" applyBorder="1" applyAlignment="1" applyProtection="0">
      <alignment vertical="top" wrapText="1"/>
    </xf>
    <xf numFmtId="0" fontId="6" fillId="9" borderId="111" applyNumberFormat="0" applyFont="1" applyFill="1" applyBorder="1" applyAlignment="1" applyProtection="0">
      <alignment horizontal="center" vertical="bottom"/>
    </xf>
    <xf numFmtId="0" fontId="6" fillId="10" borderId="120" applyNumberFormat="1" applyFont="1" applyFill="1" applyBorder="1" applyAlignment="1" applyProtection="0">
      <alignment horizontal="center" vertical="bottom"/>
    </xf>
    <xf numFmtId="0" fontId="6" fillId="23" borderId="120" applyNumberFormat="1" applyFont="1" applyFill="1" applyBorder="1" applyAlignment="1" applyProtection="0">
      <alignment horizontal="center" vertical="bottom"/>
    </xf>
    <xf numFmtId="0" fontId="6" fillId="24" borderId="120" applyNumberFormat="1" applyFont="1" applyFill="1" applyBorder="1" applyAlignment="1" applyProtection="0">
      <alignment horizontal="center" vertical="bottom"/>
    </xf>
    <xf numFmtId="0" fontId="6" fillId="13" borderId="120" applyNumberFormat="1" applyFont="1" applyFill="1" applyBorder="1" applyAlignment="1" applyProtection="0">
      <alignment horizontal="center" vertical="bottom"/>
    </xf>
    <xf numFmtId="0" fontId="6" fillId="25" borderId="120" applyNumberFormat="1" applyFont="1" applyFill="1" applyBorder="1" applyAlignment="1" applyProtection="0">
      <alignment horizontal="center" vertical="bottom"/>
    </xf>
    <xf numFmtId="0" fontId="6" fillId="15" borderId="120" applyNumberFormat="1" applyFont="1" applyFill="1" applyBorder="1" applyAlignment="1" applyProtection="0">
      <alignment horizontal="center" vertical="bottom"/>
    </xf>
    <xf numFmtId="0" fontId="6" fillId="16" borderId="120" applyNumberFormat="1" applyFont="1" applyFill="1" applyBorder="1" applyAlignment="1" applyProtection="0">
      <alignment horizontal="center" vertical="bottom"/>
    </xf>
    <xf numFmtId="0" fontId="6" fillId="7" borderId="80" applyNumberFormat="1" applyFont="1" applyFill="1" applyBorder="1" applyAlignment="1" applyProtection="0">
      <alignment horizontal="center" vertical="bottom"/>
    </xf>
    <xf numFmtId="0" fontId="6" fillId="17" borderId="111" applyNumberFormat="1" applyFont="1" applyFill="1" applyBorder="1" applyAlignment="1" applyProtection="0">
      <alignment horizontal="center" vertical="bottom"/>
    </xf>
    <xf numFmtId="0" fontId="6" fillId="18" borderId="120" applyNumberFormat="1" applyFont="1" applyFill="1" applyBorder="1" applyAlignment="1" applyProtection="0">
      <alignment horizontal="center" vertical="bottom"/>
    </xf>
    <xf numFmtId="0" fontId="6" fillId="27" borderId="120" applyNumberFormat="0" applyFont="1" applyFill="1" applyBorder="1" applyAlignment="1" applyProtection="0">
      <alignment horizontal="center" vertical="bottom"/>
    </xf>
    <xf numFmtId="0" fontId="6" fillId="20" borderId="120" applyNumberFormat="1" applyFont="1" applyFill="1" applyBorder="1" applyAlignment="1" applyProtection="0">
      <alignment horizontal="center" vertical="bottom"/>
    </xf>
    <xf numFmtId="0" fontId="6" fillId="28" borderId="112" applyNumberFormat="0" applyFont="1" applyFill="1" applyBorder="1" applyAlignment="1" applyProtection="0">
      <alignment horizontal="center" vertical="bottom"/>
    </xf>
    <xf numFmtId="0" fontId="11" fillId="7" borderId="80" applyNumberFormat="1" applyFont="1" applyFill="1" applyBorder="1" applyAlignment="1" applyProtection="0">
      <alignment horizontal="center" vertical="bottom"/>
    </xf>
    <xf numFmtId="49" fontId="11" fillId="29" borderId="74" applyNumberFormat="1" applyFont="1" applyFill="1" applyBorder="1" applyAlignment="1" applyProtection="0">
      <alignment horizontal="center" vertical="bottom"/>
    </xf>
    <xf numFmtId="0" fontId="11" fillId="7" borderId="111" applyNumberFormat="1" applyFont="1" applyFill="1" applyBorder="1" applyAlignment="1" applyProtection="0">
      <alignment vertical="bottom"/>
    </xf>
    <xf numFmtId="61" fontId="11" fillId="7" borderId="112" applyNumberFormat="1" applyFont="1" applyFill="1" applyBorder="1" applyAlignment="1" applyProtection="0">
      <alignment vertical="bottom"/>
    </xf>
    <xf numFmtId="0" fontId="4" fillId="7" borderId="111" applyNumberFormat="1" applyFont="1" applyFill="1" applyBorder="1" applyAlignment="1" applyProtection="0">
      <alignment vertical="bottom"/>
    </xf>
    <xf numFmtId="0" fontId="4" fillId="7" borderId="120" applyNumberFormat="1" applyFont="1" applyFill="1" applyBorder="1" applyAlignment="1" applyProtection="0">
      <alignment vertical="bottom"/>
    </xf>
    <xf numFmtId="0" fontId="11" fillId="7" borderId="112" applyNumberFormat="1" applyFont="1" applyFill="1" applyBorder="1" applyAlignment="1" applyProtection="0">
      <alignment vertical="bottom"/>
    </xf>
    <xf numFmtId="0" fontId="11" fillId="8" borderId="120" applyNumberFormat="1" applyFont="1" applyFill="1" applyBorder="1" applyAlignment="1" applyProtection="0">
      <alignment vertical="bottom"/>
    </xf>
    <xf numFmtId="0" fontId="10" fillId="7" borderId="120" applyNumberFormat="1" applyFont="1" applyFill="1" applyBorder="1" applyAlignment="1" applyProtection="0">
      <alignment horizontal="center" vertical="center"/>
    </xf>
    <xf numFmtId="0" fontId="10" fillId="7" borderId="112" applyNumberFormat="1" applyFont="1" applyFill="1" applyBorder="1" applyAlignment="1" applyProtection="0">
      <alignment horizontal="center" vertical="center"/>
    </xf>
    <xf numFmtId="0" fontId="10" fillId="7" borderId="111" applyNumberFormat="1" applyFont="1" applyFill="1" applyBorder="1" applyAlignment="1" applyProtection="0">
      <alignment horizontal="center" vertical="center"/>
    </xf>
    <xf numFmtId="0" fontId="10" fillId="7" borderId="80" applyNumberFormat="1" applyFont="1" applyFill="1" applyBorder="1" applyAlignment="1" applyProtection="0">
      <alignment horizontal="center" vertical="center"/>
    </xf>
    <xf numFmtId="0" fontId="13" fillId="7" borderId="80" applyNumberFormat="1" applyFont="1" applyFill="1" applyBorder="1" applyAlignment="1" applyProtection="0">
      <alignment horizontal="center" vertical="center"/>
    </xf>
    <xf numFmtId="49" fontId="10" fillId="22" borderId="58" applyNumberFormat="1" applyFont="1" applyFill="1" applyBorder="1" applyAlignment="1" applyProtection="0">
      <alignment horizontal="left" vertical="center" wrapText="1"/>
    </xf>
    <xf numFmtId="0" fontId="10" fillId="22" borderId="10" applyNumberFormat="1" applyFont="1" applyFill="1" applyBorder="1" applyAlignment="1" applyProtection="0">
      <alignment horizontal="left" vertical="center" wrapText="1"/>
    </xf>
    <xf numFmtId="0" fontId="4" fillId="8" borderId="114" applyNumberFormat="1" applyFont="1" applyFill="1" applyBorder="1" applyAlignment="1" applyProtection="0">
      <alignment vertical="bottom"/>
    </xf>
    <xf numFmtId="49" fontId="1" fillId="7" borderId="58" applyNumberFormat="1" applyFont="1" applyFill="1" applyBorder="1" applyAlignment="1" applyProtection="0">
      <alignment horizontal="left" vertical="top" wrapText="1"/>
    </xf>
    <xf numFmtId="1" fontId="0" fillId="7" borderId="41" applyNumberFormat="1" applyFont="1" applyFill="1" applyBorder="1" applyAlignment="1" applyProtection="0">
      <alignment horizontal="center" vertical="top" wrapText="1"/>
    </xf>
    <xf numFmtId="0" fontId="11" fillId="30" borderId="74" applyNumberFormat="0" applyFont="1" applyFill="1" applyBorder="1" applyAlignment="1" applyProtection="0">
      <alignment horizontal="center" vertical="bottom"/>
    </xf>
    <xf numFmtId="0" fontId="13" fillId="7" borderId="47" applyNumberFormat="1" applyFont="1" applyFill="1" applyBorder="1" applyAlignment="1" applyProtection="0">
      <alignment horizontal="center" vertical="bottom"/>
    </xf>
    <xf numFmtId="0" fontId="13" fillId="7" borderId="105" applyNumberFormat="1" applyFont="1" applyFill="1" applyBorder="1" applyAlignment="1" applyProtection="0">
      <alignment horizontal="center" vertical="bottom"/>
    </xf>
    <xf numFmtId="0" fontId="13" fillId="7" borderId="41" applyNumberFormat="1" applyFont="1" applyFill="1" applyBorder="1" applyAlignment="1" applyProtection="0">
      <alignment horizontal="center" vertical="bottom"/>
    </xf>
    <xf numFmtId="0" fontId="14" fillId="8" borderId="115" applyNumberFormat="1" applyFont="1" applyFill="1" applyBorder="1" applyAlignment="1" applyProtection="0">
      <alignment vertical="bottom"/>
    </xf>
    <xf numFmtId="0" fontId="10" fillId="7" borderId="74" applyNumberFormat="1" applyFont="1" applyFill="1" applyBorder="1" applyAlignment="1" applyProtection="0">
      <alignment horizontal="center" vertical="center"/>
    </xf>
    <xf numFmtId="49" fontId="1" fillId="7" borderId="116" applyNumberFormat="1" applyFont="1" applyFill="1" applyBorder="1" applyAlignment="1" applyProtection="0">
      <alignment horizontal="left" vertical="top" wrapText="1"/>
    </xf>
    <xf numFmtId="0" fontId="11" fillId="30" borderId="119" applyNumberFormat="0" applyFont="1" applyFill="1" applyBorder="1" applyAlignment="1" applyProtection="0">
      <alignment horizontal="center" vertical="bottom"/>
    </xf>
    <xf numFmtId="0" fontId="13" fillId="7" borderId="117" applyNumberFormat="1" applyFont="1" applyFill="1" applyBorder="1" applyAlignment="1" applyProtection="0">
      <alignment horizontal="center" vertical="bottom"/>
    </xf>
    <xf numFmtId="0" fontId="13" fillId="7" borderId="118" applyNumberFormat="1" applyFont="1" applyFill="1" applyBorder="1" applyAlignment="1" applyProtection="0">
      <alignment horizontal="center" vertical="bottom"/>
    </xf>
    <xf numFmtId="0" fontId="13" fillId="7" borderId="71" applyNumberFormat="1" applyFont="1" applyFill="1" applyBorder="1" applyAlignment="1" applyProtection="0">
      <alignment horizontal="center" vertical="bottom"/>
    </xf>
    <xf numFmtId="0" fontId="14" fillId="8" borderId="47" applyNumberFormat="1" applyFont="1" applyFill="1" applyBorder="1" applyAlignment="1" applyProtection="0">
      <alignment vertical="bottom"/>
    </xf>
    <xf numFmtId="49" fontId="1" fillId="7" borderId="119" applyNumberFormat="1" applyFont="1" applyFill="1" applyBorder="1" applyAlignment="1" applyProtection="0">
      <alignment vertical="top" wrapText="1"/>
    </xf>
    <xf numFmtId="0" fontId="14" fillId="8" borderId="117" applyNumberFormat="1" applyFont="1" applyFill="1" applyBorder="1" applyAlignment="1" applyProtection="0">
      <alignment vertical="bottom"/>
    </xf>
    <xf numFmtId="49" fontId="10" fillId="7" borderId="118" applyNumberFormat="1" applyFont="1" applyFill="1" applyBorder="1" applyAlignment="1" applyProtection="0">
      <alignment horizontal="center" vertical="top" wrapText="1"/>
    </xf>
    <xf numFmtId="0" fontId="7" fillId="7" borderId="119" applyNumberFormat="1" applyFont="1" applyFill="1" applyBorder="1" applyAlignment="1" applyProtection="0">
      <alignment horizontal="right" vertical="center" wrapText="1"/>
    </xf>
    <xf numFmtId="49" fontId="10" fillId="7" borderId="118" applyNumberFormat="1" applyFont="1" applyFill="1" applyBorder="1" applyAlignment="1" applyProtection="0">
      <alignment horizontal="center" vertical="bottom"/>
    </xf>
    <xf numFmtId="49" fontId="13" fillId="7" borderId="118" applyNumberFormat="1" applyFont="1" applyFill="1" applyBorder="1" applyAlignment="1" applyProtection="0">
      <alignment horizontal="center" vertical="bottom"/>
    </xf>
    <xf numFmtId="0" fontId="10" fillId="7" borderId="117" applyNumberFormat="1" applyFont="1" applyFill="1" applyBorder="1" applyAlignment="1" applyProtection="0">
      <alignment horizontal="center" vertical="bottom"/>
    </xf>
    <xf numFmtId="0" fontId="10" fillId="7" borderId="118" applyNumberFormat="1" applyFont="1" applyFill="1" applyBorder="1" applyAlignment="1" applyProtection="0">
      <alignment horizontal="center" vertical="bottom"/>
    </xf>
    <xf numFmtId="0" fontId="10" fillId="7" borderId="71" applyNumberFormat="1" applyFont="1" applyFill="1" applyBorder="1" applyAlignment="1" applyProtection="0">
      <alignment horizontal="center" vertical="bottom"/>
    </xf>
    <xf numFmtId="0" fontId="6" fillId="8" borderId="117" applyNumberFormat="1" applyFont="1" applyFill="1" applyBorder="1" applyAlignment="1" applyProtection="0">
      <alignment vertical="bottom"/>
    </xf>
    <xf numFmtId="0" fontId="11" fillId="2" borderId="121" applyNumberFormat="1" applyFont="1" applyFill="1" applyBorder="1" applyAlignment="1" applyProtection="0">
      <alignment vertical="bottom"/>
    </xf>
    <xf numFmtId="0" fontId="11" fillId="2" borderId="122" applyNumberFormat="1" applyFont="1" applyFill="1" applyBorder="1" applyAlignment="1" applyProtection="0">
      <alignment vertical="bottom"/>
    </xf>
    <xf numFmtId="0" fontId="11" fillId="2" borderId="123" applyNumberFormat="1" applyFont="1" applyFill="1" applyBorder="1" applyAlignment="1" applyProtection="0">
      <alignment vertical="bottom"/>
    </xf>
    <xf numFmtId="49" fontId="1" fillId="7" borderId="58" applyNumberFormat="1" applyFont="1" applyFill="1" applyBorder="1" applyAlignment="1" applyProtection="0">
      <alignment vertical="bottom"/>
    </xf>
    <xf numFmtId="0" fontId="11" fillId="7" borderId="71" applyNumberFormat="1" applyFont="1" applyFill="1" applyBorder="1" applyAlignment="1" applyProtection="0">
      <alignment horizontal="center" vertical="bottom"/>
    </xf>
    <xf numFmtId="49" fontId="1" fillId="7" borderId="58" applyNumberFormat="1" applyFont="1" applyFill="1" applyBorder="1" applyAlignment="1" applyProtection="0">
      <alignment vertical="top"/>
    </xf>
    <xf numFmtId="0" fontId="11" fillId="30" borderId="80" applyNumberFormat="0" applyFont="1" applyFill="1" applyBorder="1" applyAlignment="1" applyProtection="0">
      <alignment horizontal="center" vertical="bottom"/>
    </xf>
    <xf numFmtId="0" fontId="0" fillId="7" borderId="119" applyNumberFormat="1" applyFont="1" applyFill="1" applyBorder="1" applyAlignment="1" applyProtection="0">
      <alignment horizontal="center" vertical="top" wrapText="1"/>
    </xf>
    <xf numFmtId="49" fontId="10" fillId="7" borderId="119" applyNumberFormat="1" applyFont="1" applyFill="1" applyBorder="1" applyAlignment="1" applyProtection="0">
      <alignment horizontal="center" vertical="center"/>
    </xf>
    <xf numFmtId="61" fontId="11" fillId="7" borderId="119" applyNumberFormat="1" applyFont="1" applyFill="1" applyBorder="1" applyAlignment="1" applyProtection="0">
      <alignment vertical="bottom"/>
    </xf>
    <xf numFmtId="61" fontId="0" fillId="7" borderId="119" applyNumberFormat="1" applyFont="1" applyFill="1" applyBorder="1" applyAlignment="1" applyProtection="0">
      <alignment vertical="top" wrapText="1"/>
    </xf>
    <xf numFmtId="61" fontId="0" fillId="7" borderId="119" applyNumberFormat="1" applyFont="1" applyFill="1" applyBorder="1" applyAlignment="1" applyProtection="0">
      <alignment horizontal="right" vertical="top" wrapText="1"/>
    </xf>
    <xf numFmtId="49" fontId="1" fillId="7" borderId="74" applyNumberFormat="1" applyFont="1" applyFill="1" applyBorder="1" applyAlignment="1" applyProtection="0">
      <alignment vertical="bottom"/>
    </xf>
    <xf numFmtId="0" fontId="11" fillId="7" borderId="119" applyNumberFormat="1" applyFont="1" applyFill="1" applyBorder="1" applyAlignment="1" applyProtection="0">
      <alignment horizontal="center" vertical="center"/>
    </xf>
    <xf numFmtId="61" fontId="0" fillId="7" borderId="119" applyNumberFormat="1" applyFont="1" applyFill="1" applyBorder="1" applyAlignment="1" applyProtection="0">
      <alignment horizontal="right" vertical="center" wrapText="1"/>
    </xf>
    <xf numFmtId="49" fontId="1" fillId="7" borderId="119" applyNumberFormat="1" applyFont="1" applyFill="1" applyBorder="1" applyAlignment="1" applyProtection="0">
      <alignment vertical="bottom"/>
    </xf>
    <xf numFmtId="49" fontId="1" fillId="7" borderId="58" applyNumberFormat="1" applyFont="1" applyFill="1" applyBorder="1" applyAlignment="1" applyProtection="0">
      <alignment horizontal="left" vertical="bottom"/>
    </xf>
    <xf numFmtId="61" fontId="0" fillId="7" borderId="119" applyNumberFormat="1" applyFont="1" applyFill="1" applyBorder="1" applyAlignment="1" applyProtection="0">
      <alignment vertical="center" wrapText="1"/>
    </xf>
    <xf numFmtId="61" fontId="27" fillId="7" borderId="119" applyNumberFormat="1" applyFont="1" applyFill="1" applyBorder="1" applyAlignment="1" applyProtection="0">
      <alignment horizontal="right" vertical="center" wrapText="1"/>
    </xf>
    <xf numFmtId="49" fontId="1" fillId="7" borderId="80" applyNumberFormat="1" applyFont="1" applyFill="1" applyBorder="1" applyAlignment="1" applyProtection="0">
      <alignment vertical="bottom"/>
    </xf>
    <xf numFmtId="0" fontId="11" fillId="7" borderId="80" applyNumberFormat="1" applyFont="1" applyFill="1" applyBorder="1" applyAlignment="1" applyProtection="0">
      <alignment horizontal="center" vertical="center"/>
    </xf>
    <xf numFmtId="61" fontId="27" fillId="7" borderId="80" applyNumberFormat="1" applyFont="1" applyFill="1" applyBorder="1" applyAlignment="1" applyProtection="0">
      <alignment horizontal="right" vertical="center" wrapText="1"/>
    </xf>
    <xf numFmtId="0" fontId="6" fillId="26" borderId="120" applyNumberFormat="1" applyFont="1" applyFill="1" applyBorder="1" applyAlignment="1" applyProtection="0">
      <alignment horizontal="center" vertical="bottom"/>
    </xf>
    <xf numFmtId="0" fontId="6" fillId="27" borderId="120" applyNumberFormat="1" applyFont="1" applyFill="1" applyBorder="1" applyAlignment="1" applyProtection="0">
      <alignment horizontal="center" vertical="bottom"/>
    </xf>
    <xf numFmtId="0" fontId="4" fillId="8" borderId="120" applyNumberFormat="1" applyFont="1" applyFill="1" applyBorder="1" applyAlignment="1" applyProtection="0">
      <alignment vertical="bottom"/>
    </xf>
    <xf numFmtId="0" fontId="13" fillId="7" borderId="120" applyNumberFormat="1" applyFont="1" applyFill="1" applyBorder="1" applyAlignment="1" applyProtection="0">
      <alignment horizontal="center" vertical="bottom"/>
    </xf>
    <xf numFmtId="0" fontId="14" fillId="8" borderId="120" applyNumberFormat="1" applyFont="1" applyFill="1" applyBorder="1" applyAlignment="1" applyProtection="0">
      <alignment vertical="bottom"/>
    </xf>
    <xf numFmtId="0" fontId="13" fillId="7" borderId="112" applyNumberFormat="1" applyFont="1" applyFill="1" applyBorder="1" applyAlignment="1" applyProtection="0">
      <alignment horizontal="center" vertical="bottom"/>
    </xf>
    <xf numFmtId="49" fontId="5" fillId="2" borderId="58" applyNumberFormat="1" applyFont="1" applyFill="1" applyBorder="1" applyAlignment="1" applyProtection="0">
      <alignment horizontal="left" vertical="center"/>
    </xf>
    <xf numFmtId="0" fontId="5" fillId="2" borderId="10" applyNumberFormat="1" applyFont="1" applyFill="1" applyBorder="1" applyAlignment="1" applyProtection="0">
      <alignment horizontal="left" vertical="center"/>
    </xf>
    <xf numFmtId="49" fontId="6" fillId="6" borderId="10" applyNumberFormat="1" applyFont="1" applyFill="1" applyBorder="1" applyAlignment="1" applyProtection="0">
      <alignment vertical="center"/>
    </xf>
    <xf numFmtId="0" fontId="6" fillId="6" borderId="58" applyNumberFormat="1" applyFont="1" applyFill="1" applyBorder="1" applyAlignment="1" applyProtection="0">
      <alignment horizontal="center" vertical="center"/>
    </xf>
    <xf numFmtId="0" fontId="6" fillId="6" borderId="10" applyNumberFormat="1" applyFont="1" applyFill="1" applyBorder="1" applyAlignment="1" applyProtection="0">
      <alignment horizontal="center" vertical="center"/>
    </xf>
    <xf numFmtId="61" fontId="6" fillId="6" borderId="58" applyNumberFormat="1" applyFont="1" applyFill="1" applyBorder="1" applyAlignment="1" applyProtection="0">
      <alignment horizontal="center" vertical="center"/>
    </xf>
    <xf numFmtId="0" fontId="11" fillId="2" borderId="124" applyNumberFormat="1" applyFont="1" applyFill="1" applyBorder="1" applyAlignment="1" applyProtection="0">
      <alignment vertical="bottom"/>
    </xf>
    <xf numFmtId="0" fontId="11" fillId="2" borderId="125" applyNumberFormat="1" applyFont="1" applyFill="1" applyBorder="1" applyAlignment="1" applyProtection="0">
      <alignment vertical="bottom"/>
    </xf>
    <xf numFmtId="0" fontId="11" fillId="2" borderId="126" applyNumberFormat="1" applyFont="1" applyFill="1" applyBorder="1" applyAlignment="1" applyProtection="0">
      <alignment vertical="bottom"/>
    </xf>
    <xf numFmtId="0" fontId="6" fillId="8" borderId="58" applyNumberFormat="1" applyFont="1" applyFill="1" applyBorder="1" applyAlignment="1" applyProtection="0">
      <alignment horizontal="center" vertical="center"/>
    </xf>
    <xf numFmtId="0" fontId="10" fillId="6" borderId="10" applyNumberFormat="1" applyFont="1" applyFill="1" applyBorder="1" applyAlignment="1" applyProtection="0">
      <alignment horizontal="center" vertical="center"/>
    </xf>
    <xf numFmtId="0" fontId="10" fillId="6" borderId="11" applyNumberFormat="1" applyFont="1" applyFill="1" applyBorder="1" applyAlignment="1" applyProtection="0">
      <alignment horizontal="center" vertical="center"/>
    </xf>
    <xf numFmtId="0" fontId="6" fillId="8" borderId="12" applyNumberFormat="1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top" wrapText="1"/>
    </xf>
    <xf numFmtId="49" fontId="10" fillId="31" borderId="10" applyNumberFormat="1" applyFont="1" applyFill="1" applyBorder="1" applyAlignment="1" applyProtection="0">
      <alignment horizontal="left" vertical="center"/>
    </xf>
    <xf numFmtId="49" fontId="6" fillId="31" borderId="116" applyNumberFormat="1" applyFont="1" applyFill="1" applyBorder="1" applyAlignment="1" applyProtection="0">
      <alignment horizontal="center" vertical="center"/>
    </xf>
    <xf numFmtId="0" fontId="6" fillId="2" borderId="115" applyNumberFormat="1" applyFont="1" applyFill="1" applyBorder="1" applyAlignment="1" applyProtection="0">
      <alignment horizontal="center" vertical="bottom"/>
    </xf>
    <xf numFmtId="49" fontId="10" fillId="2" borderId="127" applyNumberFormat="1" applyFont="1" applyFill="1" applyBorder="1" applyAlignment="1" applyProtection="0">
      <alignment horizontal="center" vertical="center"/>
    </xf>
    <xf numFmtId="49" fontId="10" fillId="2" borderId="128" applyNumberFormat="1" applyFont="1" applyFill="1" applyBorder="1" applyAlignment="1" applyProtection="0">
      <alignment vertical="center"/>
    </xf>
    <xf numFmtId="49" fontId="6" fillId="2" borderId="58" applyNumberFormat="1" applyFont="1" applyFill="1" applyBorder="1" applyAlignment="1" applyProtection="0">
      <alignment horizontal="left" vertical="center"/>
    </xf>
    <xf numFmtId="49" fontId="6" fillId="2" borderId="114" applyNumberFormat="1" applyFont="1" applyFill="1" applyBorder="1" applyAlignment="1" applyProtection="0">
      <alignment horizontal="center" vertical="center"/>
    </xf>
    <xf numFmtId="49" fontId="6" fillId="2" borderId="115" applyNumberFormat="1" applyFont="1" applyFill="1" applyBorder="1" applyAlignment="1" applyProtection="0">
      <alignment horizontal="center" vertical="center"/>
    </xf>
    <xf numFmtId="49" fontId="6" fillId="2" borderId="116" applyNumberFormat="1" applyFont="1" applyFill="1" applyBorder="1" applyAlignment="1" applyProtection="0">
      <alignment horizontal="center" vertical="center"/>
    </xf>
    <xf numFmtId="49" fontId="6" fillId="32" borderId="98" applyNumberFormat="1" applyFont="1" applyFill="1" applyBorder="1" applyAlignment="1" applyProtection="0">
      <alignment horizontal="center" vertical="center"/>
    </xf>
    <xf numFmtId="49" fontId="6" fillId="33" borderId="99" applyNumberFormat="1" applyFont="1" applyFill="1" applyBorder="1" applyAlignment="1" applyProtection="0">
      <alignment horizontal="center" vertical="center"/>
    </xf>
    <xf numFmtId="49" fontId="6" fillId="34" borderId="99" applyNumberFormat="1" applyFont="1" applyFill="1" applyBorder="1" applyAlignment="1" applyProtection="0">
      <alignment horizontal="center" vertical="center"/>
    </xf>
    <xf numFmtId="49" fontId="6" fillId="35" borderId="99" applyNumberFormat="1" applyFont="1" applyFill="1" applyBorder="1" applyAlignment="1" applyProtection="0">
      <alignment horizontal="center" vertical="center"/>
    </xf>
    <xf numFmtId="49" fontId="6" fillId="36" borderId="99" applyNumberFormat="1" applyFont="1" applyFill="1" applyBorder="1" applyAlignment="1" applyProtection="0">
      <alignment horizontal="center" vertical="center"/>
    </xf>
    <xf numFmtId="49" fontId="6" fillId="37" borderId="99" applyNumberFormat="1" applyFont="1" applyFill="1" applyBorder="1" applyAlignment="1" applyProtection="0">
      <alignment horizontal="center" vertical="center"/>
    </xf>
    <xf numFmtId="49" fontId="6" fillId="38" borderId="99" applyNumberFormat="1" applyFont="1" applyFill="1" applyBorder="1" applyAlignment="1" applyProtection="0">
      <alignment horizontal="center" vertical="center"/>
    </xf>
    <xf numFmtId="49" fontId="6" fillId="39" borderId="99" applyNumberFormat="1" applyFont="1" applyFill="1" applyBorder="1" applyAlignment="1" applyProtection="0">
      <alignment horizontal="center" vertical="center"/>
    </xf>
    <xf numFmtId="49" fontId="28" fillId="8" borderId="99" applyNumberFormat="1" applyFont="1" applyFill="1" applyBorder="1" applyAlignment="1" applyProtection="0">
      <alignment horizontal="center" vertical="center"/>
    </xf>
    <xf numFmtId="49" fontId="6" fillId="40" borderId="129" applyNumberFormat="1" applyFont="1" applyFill="1" applyBorder="1" applyAlignment="1" applyProtection="0">
      <alignment horizontal="center" vertical="center"/>
    </xf>
    <xf numFmtId="49" fontId="6" fillId="41" borderId="115" applyNumberFormat="1" applyFont="1" applyFill="1" applyBorder="1" applyAlignment="1" applyProtection="0">
      <alignment horizontal="center" vertical="center"/>
    </xf>
    <xf numFmtId="0" fontId="4" fillId="2" borderId="130" applyNumberFormat="1" applyFont="1" applyFill="1" applyBorder="1" applyAlignment="1" applyProtection="0">
      <alignment vertical="bottom"/>
    </xf>
    <xf numFmtId="0" fontId="4" fillId="2" borderId="131" applyNumberFormat="1" applyFont="1" applyFill="1" applyBorder="1" applyAlignment="1" applyProtection="0">
      <alignment vertical="bottom"/>
    </xf>
    <xf numFmtId="49" fontId="29" fillId="7" borderId="74" applyNumberFormat="1" applyFont="1" applyFill="1" applyBorder="1" applyAlignment="1" applyProtection="0">
      <alignment horizontal="center" vertical="bottom"/>
    </xf>
    <xf numFmtId="49" fontId="11" fillId="7" borderId="41" applyNumberFormat="1" applyFont="1" applyFill="1" applyBorder="1" applyAlignment="1" applyProtection="0">
      <alignment horizontal="center" vertical="bottom"/>
    </xf>
    <xf numFmtId="0" fontId="4" fillId="7" borderId="47" applyNumberFormat="1" applyFont="1" applyFill="1" applyBorder="1" applyAlignment="1" applyProtection="0">
      <alignment horizontal="center" vertical="bottom"/>
    </xf>
    <xf numFmtId="62" fontId="4" fillId="7" borderId="47" applyNumberFormat="1" applyFont="1" applyFill="1" applyBorder="1" applyAlignment="1" applyProtection="0">
      <alignment horizontal="center" vertical="bottom"/>
    </xf>
    <xf numFmtId="0" fontId="6" fillId="42" borderId="132" applyNumberFormat="1" applyFont="1" applyFill="1" applyBorder="1" applyAlignment="1" applyProtection="0">
      <alignment horizontal="center" vertical="bottom"/>
    </xf>
    <xf numFmtId="0" fontId="6" fillId="33" borderId="133" applyNumberFormat="1" applyFont="1" applyFill="1" applyBorder="1" applyAlignment="1" applyProtection="0">
      <alignment horizontal="center" vertical="bottom"/>
    </xf>
    <xf numFmtId="0" fontId="6" fillId="43" borderId="133" applyNumberFormat="1" applyFont="1" applyFill="1" applyBorder="1" applyAlignment="1" applyProtection="0">
      <alignment horizontal="center" vertical="bottom"/>
    </xf>
    <xf numFmtId="0" fontId="6" fillId="44" borderId="133" applyNumberFormat="1" applyFont="1" applyFill="1" applyBorder="1" applyAlignment="1" applyProtection="0">
      <alignment horizontal="center" vertical="bottom"/>
    </xf>
    <xf numFmtId="0" fontId="6" fillId="36" borderId="133" applyNumberFormat="1" applyFont="1" applyFill="1" applyBorder="1" applyAlignment="1" applyProtection="0">
      <alignment horizontal="center" vertical="bottom"/>
    </xf>
    <xf numFmtId="0" fontId="6" fillId="37" borderId="133" applyNumberFormat="1" applyFont="1" applyFill="1" applyBorder="1" applyAlignment="1" applyProtection="0">
      <alignment horizontal="center" vertical="bottom"/>
    </xf>
    <xf numFmtId="0" fontId="6" fillId="45" borderId="133" applyNumberFormat="1" applyFont="1" applyFill="1" applyBorder="1" applyAlignment="1" applyProtection="0">
      <alignment horizontal="center" vertical="bottom"/>
    </xf>
    <xf numFmtId="0" fontId="6" fillId="39" borderId="133" applyNumberFormat="1" applyFont="1" applyFill="1" applyBorder="1" applyAlignment="1" applyProtection="0">
      <alignment horizontal="center" vertical="bottom"/>
    </xf>
    <xf numFmtId="0" fontId="6" fillId="46" borderId="133" applyNumberFormat="1" applyFont="1" applyFill="1" applyBorder="1" applyAlignment="1" applyProtection="0">
      <alignment horizontal="center" vertical="bottom"/>
    </xf>
    <xf numFmtId="0" fontId="6" fillId="40" borderId="133" applyNumberFormat="1" applyFont="1" applyFill="1" applyBorder="1" applyAlignment="1" applyProtection="0">
      <alignment horizontal="center" vertical="bottom"/>
    </xf>
    <xf numFmtId="0" fontId="6" fillId="47" borderId="134" applyNumberFormat="0" applyFont="1" applyFill="1" applyBorder="1" applyAlignment="1" applyProtection="0">
      <alignment horizontal="center" vertical="bottom"/>
    </xf>
    <xf numFmtId="0" fontId="11" fillId="7" borderId="115" applyNumberFormat="1" applyFont="1" applyFill="1" applyBorder="1" applyAlignment="1" applyProtection="0">
      <alignment vertical="bottom"/>
    </xf>
    <xf numFmtId="61" fontId="11" fillId="7" borderId="115" applyNumberFormat="1" applyFont="1" applyFill="1" applyBorder="1" applyAlignment="1" applyProtection="0">
      <alignment horizontal="center" vertical="bottom"/>
    </xf>
    <xf numFmtId="0" fontId="11" fillId="7" borderId="135" applyNumberFormat="1" applyFont="1" applyFill="1" applyBorder="1" applyAlignment="1" applyProtection="0">
      <alignment vertical="bottom"/>
    </xf>
    <xf numFmtId="49" fontId="29" fillId="7" borderId="119" applyNumberFormat="1" applyFont="1" applyFill="1" applyBorder="1" applyAlignment="1" applyProtection="0">
      <alignment horizontal="center" vertical="bottom"/>
    </xf>
    <xf numFmtId="49" fontId="11" fillId="7" borderId="71" applyNumberFormat="1" applyFont="1" applyFill="1" applyBorder="1" applyAlignment="1" applyProtection="0">
      <alignment horizontal="center" vertical="bottom"/>
    </xf>
    <xf numFmtId="0" fontId="11" fillId="7" borderId="117" applyNumberFormat="1" applyFont="1" applyFill="1" applyBorder="1" applyAlignment="1" applyProtection="0">
      <alignment horizontal="center" vertical="bottom"/>
    </xf>
    <xf numFmtId="62" fontId="4" fillId="7" borderId="117" applyNumberFormat="1" applyFont="1" applyFill="1" applyBorder="1" applyAlignment="1" applyProtection="0">
      <alignment horizontal="center" vertical="bottom"/>
    </xf>
    <xf numFmtId="0" fontId="6" fillId="42" borderId="59" applyNumberFormat="1" applyFont="1" applyFill="1" applyBorder="1" applyAlignment="1" applyProtection="0">
      <alignment horizontal="center" vertical="bottom"/>
    </xf>
    <xf numFmtId="0" fontId="6" fillId="33" borderId="60" applyNumberFormat="1" applyFont="1" applyFill="1" applyBorder="1" applyAlignment="1" applyProtection="0">
      <alignment horizontal="center" vertical="bottom"/>
    </xf>
    <xf numFmtId="0" fontId="6" fillId="43" borderId="60" applyNumberFormat="1" applyFont="1" applyFill="1" applyBorder="1" applyAlignment="1" applyProtection="0">
      <alignment horizontal="center" vertical="bottom"/>
    </xf>
    <xf numFmtId="0" fontId="6" fillId="44" borderId="60" applyNumberFormat="1" applyFont="1" applyFill="1" applyBorder="1" applyAlignment="1" applyProtection="0">
      <alignment horizontal="center" vertical="bottom"/>
    </xf>
    <xf numFmtId="0" fontId="6" fillId="36" borderId="60" applyNumberFormat="1" applyFont="1" applyFill="1" applyBorder="1" applyAlignment="1" applyProtection="0">
      <alignment horizontal="center" vertical="bottom"/>
    </xf>
    <xf numFmtId="0" fontId="6" fillId="37" borderId="60" applyNumberFormat="1" applyFont="1" applyFill="1" applyBorder="1" applyAlignment="1" applyProtection="0">
      <alignment horizontal="center" vertical="bottom"/>
    </xf>
    <xf numFmtId="0" fontId="6" fillId="45" borderId="60" applyNumberFormat="1" applyFont="1" applyFill="1" applyBorder="1" applyAlignment="1" applyProtection="0">
      <alignment horizontal="center" vertical="bottom"/>
    </xf>
    <xf numFmtId="0" fontId="6" fillId="39" borderId="60" applyNumberFormat="1" applyFont="1" applyFill="1" applyBorder="1" applyAlignment="1" applyProtection="0">
      <alignment horizontal="center" vertical="bottom"/>
    </xf>
    <xf numFmtId="0" fontId="6" fillId="46" borderId="60" applyNumberFormat="1" applyFont="1" applyFill="1" applyBorder="1" applyAlignment="1" applyProtection="0">
      <alignment horizontal="center" vertical="bottom"/>
    </xf>
    <xf numFmtId="0" fontId="6" fillId="40" borderId="60" applyNumberFormat="1" applyFont="1" applyFill="1" applyBorder="1" applyAlignment="1" applyProtection="0">
      <alignment horizontal="center" vertical="bottom"/>
    </xf>
    <xf numFmtId="0" fontId="6" fillId="47" borderId="61" applyNumberFormat="0" applyFont="1" applyFill="1" applyBorder="1" applyAlignment="1" applyProtection="0">
      <alignment horizontal="center" vertical="bottom"/>
    </xf>
    <xf numFmtId="0" fontId="11" fillId="7" borderId="136" applyNumberFormat="1" applyFont="1" applyFill="1" applyBorder="1" applyAlignment="1" applyProtection="0">
      <alignment vertical="bottom"/>
    </xf>
    <xf numFmtId="0" fontId="6" fillId="42" borderId="137" applyNumberFormat="1" applyFont="1" applyFill="1" applyBorder="1" applyAlignment="1" applyProtection="0">
      <alignment horizontal="center" vertical="bottom"/>
    </xf>
    <xf numFmtId="0" fontId="6" fillId="33" borderId="138" applyNumberFormat="1" applyFont="1" applyFill="1" applyBorder="1" applyAlignment="1" applyProtection="0">
      <alignment horizontal="center" vertical="bottom"/>
    </xf>
    <xf numFmtId="0" fontId="6" fillId="43" borderId="138" applyNumberFormat="1" applyFont="1" applyFill="1" applyBorder="1" applyAlignment="1" applyProtection="0">
      <alignment horizontal="center" vertical="bottom"/>
    </xf>
    <xf numFmtId="0" fontId="6" fillId="44" borderId="138" applyNumberFormat="1" applyFont="1" applyFill="1" applyBorder="1" applyAlignment="1" applyProtection="0">
      <alignment horizontal="center" vertical="bottom"/>
    </xf>
    <xf numFmtId="0" fontId="6" fillId="36" borderId="138" applyNumberFormat="1" applyFont="1" applyFill="1" applyBorder="1" applyAlignment="1" applyProtection="0">
      <alignment horizontal="center" vertical="bottom"/>
    </xf>
    <xf numFmtId="0" fontId="6" fillId="37" borderId="138" applyNumberFormat="1" applyFont="1" applyFill="1" applyBorder="1" applyAlignment="1" applyProtection="0">
      <alignment horizontal="center" vertical="bottom"/>
    </xf>
    <xf numFmtId="0" fontId="6" fillId="45" borderId="138" applyNumberFormat="1" applyFont="1" applyFill="1" applyBorder="1" applyAlignment="1" applyProtection="0">
      <alignment horizontal="center" vertical="bottom"/>
    </xf>
    <xf numFmtId="0" fontId="6" fillId="39" borderId="138" applyNumberFormat="1" applyFont="1" applyFill="1" applyBorder="1" applyAlignment="1" applyProtection="0">
      <alignment horizontal="center" vertical="bottom"/>
    </xf>
    <xf numFmtId="0" fontId="6" fillId="46" borderId="138" applyNumberFormat="1" applyFont="1" applyFill="1" applyBorder="1" applyAlignment="1" applyProtection="0">
      <alignment horizontal="center" vertical="bottom"/>
    </xf>
    <xf numFmtId="0" fontId="6" fillId="40" borderId="138" applyNumberFormat="1" applyFont="1" applyFill="1" applyBorder="1" applyAlignment="1" applyProtection="0">
      <alignment horizontal="center" vertical="bottom"/>
    </xf>
    <xf numFmtId="0" fontId="6" fillId="47" borderId="139" applyNumberFormat="0" applyFont="1" applyFill="1" applyBorder="1" applyAlignment="1" applyProtection="0">
      <alignment horizontal="center" vertical="bottom"/>
    </xf>
    <xf numFmtId="0" fontId="11" fillId="7" borderId="140" applyNumberFormat="1" applyFont="1" applyFill="1" applyBorder="1" applyAlignment="1" applyProtection="0">
      <alignment vertical="bottom"/>
    </xf>
    <xf numFmtId="0" fontId="6" fillId="42" borderId="52" applyNumberFormat="1" applyFont="1" applyFill="1" applyBorder="1" applyAlignment="1" applyProtection="0">
      <alignment horizontal="center" vertical="bottom"/>
    </xf>
    <xf numFmtId="0" fontId="6" fillId="33" borderId="53" applyNumberFormat="1" applyFont="1" applyFill="1" applyBorder="1" applyAlignment="1" applyProtection="0">
      <alignment horizontal="center" vertical="bottom"/>
    </xf>
    <xf numFmtId="0" fontId="6" fillId="43" borderId="53" applyNumberFormat="1" applyFont="1" applyFill="1" applyBorder="1" applyAlignment="1" applyProtection="0">
      <alignment horizontal="center" vertical="bottom"/>
    </xf>
    <xf numFmtId="0" fontId="6" fillId="44" borderId="53" applyNumberFormat="1" applyFont="1" applyFill="1" applyBorder="1" applyAlignment="1" applyProtection="0">
      <alignment horizontal="center" vertical="bottom"/>
    </xf>
    <xf numFmtId="0" fontId="6" fillId="36" borderId="53" applyNumberFormat="1" applyFont="1" applyFill="1" applyBorder="1" applyAlignment="1" applyProtection="0">
      <alignment horizontal="center" vertical="bottom"/>
    </xf>
    <xf numFmtId="0" fontId="6" fillId="37" borderId="53" applyNumberFormat="1" applyFont="1" applyFill="1" applyBorder="1" applyAlignment="1" applyProtection="0">
      <alignment horizontal="center" vertical="bottom"/>
    </xf>
    <xf numFmtId="0" fontId="6" fillId="45" borderId="53" applyNumberFormat="1" applyFont="1" applyFill="1" applyBorder="1" applyAlignment="1" applyProtection="0">
      <alignment horizontal="center" vertical="bottom"/>
    </xf>
    <xf numFmtId="0" fontId="6" fillId="39" borderId="53" applyNumberFormat="1" applyFont="1" applyFill="1" applyBorder="1" applyAlignment="1" applyProtection="0">
      <alignment horizontal="center" vertical="bottom"/>
    </xf>
    <xf numFmtId="0" fontId="6" fillId="46" borderId="53" applyNumberFormat="1" applyFont="1" applyFill="1" applyBorder="1" applyAlignment="1" applyProtection="0">
      <alignment horizontal="center" vertical="bottom"/>
    </xf>
    <xf numFmtId="0" fontId="6" fillId="40" borderId="53" applyNumberFormat="1" applyFont="1" applyFill="1" applyBorder="1" applyAlignment="1" applyProtection="0">
      <alignment horizontal="center" vertical="bottom"/>
    </xf>
    <xf numFmtId="0" fontId="6" fillId="47" borderId="54" applyNumberFormat="0" applyFont="1" applyFill="1" applyBorder="1" applyAlignment="1" applyProtection="0">
      <alignment horizontal="center" vertical="bottom"/>
    </xf>
    <xf numFmtId="0" fontId="11" fillId="7" borderId="141" applyNumberFormat="1" applyFont="1" applyFill="1" applyBorder="1" applyAlignment="1" applyProtection="0">
      <alignment vertical="bottom"/>
    </xf>
    <xf numFmtId="63" fontId="4" fillId="7" borderId="117" applyNumberFormat="1" applyFont="1" applyFill="1" applyBorder="1" applyAlignment="1" applyProtection="0">
      <alignment horizontal="center" vertical="bottom"/>
    </xf>
    <xf numFmtId="0" fontId="6" fillId="42" borderId="59" applyNumberFormat="0" applyFont="1" applyFill="1" applyBorder="1" applyAlignment="1" applyProtection="0">
      <alignment horizontal="center" vertical="bottom"/>
    </xf>
    <xf numFmtId="49" fontId="31" fillId="7" borderId="119" applyNumberFormat="1" applyFont="1" applyFill="1" applyBorder="1" applyAlignment="1" applyProtection="0">
      <alignment horizontal="center" vertical="bottom"/>
    </xf>
    <xf numFmtId="0" fontId="6" fillId="42" borderId="137" applyNumberFormat="0" applyFont="1" applyFill="1" applyBorder="1" applyAlignment="1" applyProtection="0">
      <alignment horizontal="center" vertical="bottom"/>
    </xf>
    <xf numFmtId="49" fontId="29" fillId="7" borderId="80" applyNumberFormat="1" applyFont="1" applyFill="1" applyBorder="1" applyAlignment="1" applyProtection="0">
      <alignment horizontal="center" vertical="bottom"/>
    </xf>
    <xf numFmtId="49" fontId="11" fillId="7" borderId="111" applyNumberFormat="1" applyFont="1" applyFill="1" applyBorder="1" applyAlignment="1" applyProtection="0">
      <alignment horizontal="center" vertical="bottom"/>
    </xf>
    <xf numFmtId="0" fontId="11" fillId="7" borderId="120" applyNumberFormat="1" applyFont="1" applyFill="1" applyBorder="1" applyAlignment="1" applyProtection="0">
      <alignment horizontal="center" vertical="bottom"/>
    </xf>
    <xf numFmtId="62" fontId="4" fillId="7" borderId="120" applyNumberFormat="1" applyFont="1" applyFill="1" applyBorder="1" applyAlignment="1" applyProtection="0">
      <alignment horizontal="center" vertical="bottom"/>
    </xf>
    <xf numFmtId="0" fontId="6" fillId="42" borderId="142" applyNumberFormat="1" applyFont="1" applyFill="1" applyBorder="1" applyAlignment="1" applyProtection="0">
      <alignment horizontal="center" vertical="bottom"/>
    </xf>
    <xf numFmtId="0" fontId="6" fillId="33" borderId="143" applyNumberFormat="1" applyFont="1" applyFill="1" applyBorder="1" applyAlignment="1" applyProtection="0">
      <alignment horizontal="center" vertical="bottom"/>
    </xf>
    <xf numFmtId="0" fontId="6" fillId="43" borderId="143" applyNumberFormat="1" applyFont="1" applyFill="1" applyBorder="1" applyAlignment="1" applyProtection="0">
      <alignment horizontal="center" vertical="bottom"/>
    </xf>
    <xf numFmtId="0" fontId="6" fillId="44" borderId="143" applyNumberFormat="1" applyFont="1" applyFill="1" applyBorder="1" applyAlignment="1" applyProtection="0">
      <alignment horizontal="center" vertical="bottom"/>
    </xf>
    <xf numFmtId="0" fontId="6" fillId="36" borderId="143" applyNumberFormat="1" applyFont="1" applyFill="1" applyBorder="1" applyAlignment="1" applyProtection="0">
      <alignment horizontal="center" vertical="bottom"/>
    </xf>
    <xf numFmtId="0" fontId="6" fillId="37" borderId="143" applyNumberFormat="1" applyFont="1" applyFill="1" applyBorder="1" applyAlignment="1" applyProtection="0">
      <alignment horizontal="center" vertical="bottom"/>
    </xf>
    <xf numFmtId="0" fontId="6" fillId="45" borderId="143" applyNumberFormat="1" applyFont="1" applyFill="1" applyBorder="1" applyAlignment="1" applyProtection="0">
      <alignment horizontal="center" vertical="bottom"/>
    </xf>
    <xf numFmtId="0" fontId="6" fillId="39" borderId="143" applyNumberFormat="1" applyFont="1" applyFill="1" applyBorder="1" applyAlignment="1" applyProtection="0">
      <alignment horizontal="center" vertical="bottom"/>
    </xf>
    <xf numFmtId="0" fontId="6" fillId="46" borderId="143" applyNumberFormat="1" applyFont="1" applyFill="1" applyBorder="1" applyAlignment="1" applyProtection="0">
      <alignment horizontal="center" vertical="bottom"/>
    </xf>
    <xf numFmtId="0" fontId="6" fillId="40" borderId="143" applyNumberFormat="1" applyFont="1" applyFill="1" applyBorder="1" applyAlignment="1" applyProtection="0">
      <alignment horizontal="center" vertical="bottom"/>
    </xf>
    <xf numFmtId="0" fontId="6" fillId="47" borderId="68" applyNumberFormat="0" applyFont="1" applyFill="1" applyBorder="1" applyAlignment="1" applyProtection="0">
      <alignment horizontal="center" vertical="bottom"/>
    </xf>
    <xf numFmtId="0" fontId="11" fillId="7" borderId="144" applyNumberFormat="1" applyFont="1" applyFill="1" applyBorder="1" applyAlignment="1" applyProtection="0">
      <alignment vertical="bottom"/>
    </xf>
    <xf numFmtId="49" fontId="6" fillId="48" borderId="58" applyNumberFormat="1" applyFont="1" applyFill="1" applyBorder="1" applyAlignment="1" applyProtection="0">
      <alignment vertical="bottom"/>
    </xf>
    <xf numFmtId="49" fontId="11" fillId="48" borderId="114" applyNumberFormat="1" applyFont="1" applyFill="1" applyBorder="1" applyAlignment="1" applyProtection="0">
      <alignment horizontal="center" vertical="bottom"/>
    </xf>
    <xf numFmtId="0" fontId="11" fillId="48" borderId="115" applyNumberFormat="1" applyFont="1" applyFill="1" applyBorder="1" applyAlignment="1" applyProtection="0">
      <alignment horizontal="center" vertical="bottom"/>
    </xf>
    <xf numFmtId="63" fontId="4" fillId="48" borderId="115" applyNumberFormat="1" applyFont="1" applyFill="1" applyBorder="1" applyAlignment="1" applyProtection="0">
      <alignment vertical="bottom"/>
    </xf>
    <xf numFmtId="3" fontId="4" fillId="48" borderId="115" applyNumberFormat="1" applyFont="1" applyFill="1" applyBorder="1" applyAlignment="1" applyProtection="0">
      <alignment vertical="bottom"/>
    </xf>
    <xf numFmtId="0" fontId="4" fillId="48" borderId="116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top" wrapText="1"/>
    </xf>
    <xf numFmtId="49" fontId="10" fillId="49" borderId="74" applyNumberFormat="1" applyFont="1" applyFill="1" applyBorder="1" applyAlignment="1" applyProtection="0">
      <alignment horizontal="right" vertical="center"/>
    </xf>
    <xf numFmtId="0" fontId="10" fillId="49" borderId="145" applyNumberFormat="1" applyFont="1" applyFill="1" applyBorder="1" applyAlignment="1" applyProtection="0">
      <alignment horizontal="center" vertical="bottom"/>
    </xf>
    <xf numFmtId="0" fontId="10" fillId="49" borderId="146" applyNumberFormat="1" applyFont="1" applyFill="1" applyBorder="1" applyAlignment="1" applyProtection="0">
      <alignment horizontal="center" vertical="bottom"/>
    </xf>
    <xf numFmtId="0" fontId="10" fillId="49" borderId="11" applyNumberFormat="1" applyFont="1" applyFill="1" applyBorder="1" applyAlignment="1" applyProtection="0">
      <alignment horizontal="center" vertical="bottom"/>
    </xf>
    <xf numFmtId="0" fontId="4" fillId="49" borderId="11" applyNumberFormat="1" applyFont="1" applyFill="1" applyBorder="1" applyAlignment="1" applyProtection="0">
      <alignment vertical="bottom"/>
    </xf>
    <xf numFmtId="0" fontId="10" fillId="49" borderId="147" applyNumberFormat="1" applyFont="1" applyFill="1" applyBorder="1" applyAlignment="1" applyProtection="0">
      <alignment horizontal="center" vertical="bottom"/>
    </xf>
    <xf numFmtId="0" fontId="6" fillId="7" borderId="148" applyNumberFormat="1" applyFont="1" applyFill="1" applyBorder="1" applyAlignment="1" applyProtection="0">
      <alignment horizontal="center" vertical="bottom"/>
    </xf>
    <xf numFmtId="0" fontId="6" fillId="7" borderId="149" applyNumberFormat="1" applyFont="1" applyFill="1" applyBorder="1" applyAlignment="1" applyProtection="0">
      <alignment horizontal="center" vertical="bottom"/>
    </xf>
    <xf numFmtId="0" fontId="6" fillId="7" borderId="150" applyNumberFormat="1" applyFont="1" applyFill="1" applyBorder="1" applyAlignment="1" applyProtection="0">
      <alignment horizontal="center" vertical="bottom"/>
    </xf>
    <xf numFmtId="0" fontId="6" fillId="7" borderId="114" applyNumberFormat="1" applyFont="1" applyFill="1" applyBorder="1" applyAlignment="1" applyProtection="0">
      <alignment horizontal="center" vertical="bottom"/>
    </xf>
    <xf numFmtId="49" fontId="5" fillId="7" borderId="151" applyNumberFormat="1" applyFont="1" applyFill="1" applyBorder="1" applyAlignment="1" applyProtection="0">
      <alignment horizontal="center" vertical="center"/>
    </xf>
    <xf numFmtId="0" fontId="6" fillId="7" borderId="100" applyNumberFormat="1" applyFont="1" applyFill="1" applyBorder="1" applyAlignment="1" applyProtection="0">
      <alignment horizontal="center" vertical="bottom"/>
    </xf>
    <xf numFmtId="49" fontId="5" fillId="50" borderId="152" applyNumberFormat="1" applyFont="1" applyFill="1" applyBorder="1" applyAlignment="1" applyProtection="0">
      <alignment horizontal="center" vertical="center"/>
    </xf>
    <xf numFmtId="0" fontId="5" fillId="50" borderId="153" applyNumberFormat="1" applyFont="1" applyFill="1" applyBorder="1" applyAlignment="1" applyProtection="0">
      <alignment horizontal="center" vertical="bottom"/>
    </xf>
    <xf numFmtId="0" fontId="5" fillId="50" borderId="154" applyNumberFormat="1" applyFont="1" applyFill="1" applyBorder="1" applyAlignment="1" applyProtection="0">
      <alignment horizontal="center" vertical="bottom"/>
    </xf>
    <xf numFmtId="0" fontId="5" fillId="50" borderId="43" applyNumberFormat="1" applyFont="1" applyFill="1" applyBorder="1" applyAlignment="1" applyProtection="0">
      <alignment horizontal="center" vertical="bottom"/>
    </xf>
    <xf numFmtId="0" fontId="5" fillId="50" borderId="73" applyNumberFormat="1" applyFont="1" applyFill="1" applyBorder="1" applyAlignment="1" applyProtection="0">
      <alignment horizontal="center" vertical="bottom"/>
    </xf>
    <xf numFmtId="49" fontId="33" fillId="51" borderId="155" applyNumberFormat="1" applyFont="1" applyFill="1" applyBorder="1" applyAlignment="1" applyProtection="0">
      <alignment vertical="top" wrapText="1"/>
    </xf>
    <xf numFmtId="49" fontId="34" fillId="51" borderId="153" applyNumberFormat="1" applyFont="1" applyFill="1" applyBorder="1" applyAlignment="1" applyProtection="0">
      <alignment horizontal="center" vertical="bottom"/>
    </xf>
    <xf numFmtId="49" fontId="34" fillId="51" borderId="154" applyNumberFormat="1" applyFont="1" applyFill="1" applyBorder="1" applyAlignment="1" applyProtection="0">
      <alignment horizontal="center" vertical="bottom"/>
    </xf>
    <xf numFmtId="0" fontId="6" fillId="51" borderId="154" applyNumberFormat="1" applyFont="1" applyFill="1" applyBorder="1" applyAlignment="1" applyProtection="0">
      <alignment horizontal="center" vertical="bottom"/>
    </xf>
    <xf numFmtId="0" fontId="6" fillId="51" borderId="73" applyNumberFormat="1" applyFont="1" applyFill="1" applyBorder="1" applyAlignment="1" applyProtection="0">
      <alignment horizontal="center" vertical="bottom"/>
    </xf>
    <xf numFmtId="49" fontId="33" fillId="7" borderId="155" applyNumberFormat="1" applyFont="1" applyFill="1" applyBorder="1" applyAlignment="1" applyProtection="0">
      <alignment vertical="top" wrapText="1"/>
    </xf>
    <xf numFmtId="49" fontId="34" fillId="7" borderId="153" applyNumberFormat="1" applyFont="1" applyFill="1" applyBorder="1" applyAlignment="1" applyProtection="0">
      <alignment horizontal="center" vertical="bottom"/>
    </xf>
    <xf numFmtId="49" fontId="34" fillId="7" borderId="154" applyNumberFormat="1" applyFont="1" applyFill="1" applyBorder="1" applyAlignment="1" applyProtection="0">
      <alignment horizontal="center" vertical="bottom"/>
    </xf>
    <xf numFmtId="0" fontId="6" fillId="7" borderId="154" applyNumberFormat="1" applyFont="1" applyFill="1" applyBorder="1" applyAlignment="1" applyProtection="0">
      <alignment horizontal="center" vertical="bottom"/>
    </xf>
    <xf numFmtId="49" fontId="34" fillId="7" borderId="73" applyNumberFormat="1" applyFont="1" applyFill="1" applyBorder="1" applyAlignment="1" applyProtection="0">
      <alignment horizontal="center" vertical="bottom"/>
    </xf>
    <xf numFmtId="49" fontId="0" fillId="51" borderId="156" applyNumberFormat="1" applyFont="1" applyFill="1" applyBorder="1" applyAlignment="1" applyProtection="0">
      <alignment vertical="top" wrapText="1"/>
    </xf>
    <xf numFmtId="0" fontId="6" fillId="51" borderId="153" applyNumberFormat="1" applyFont="1" applyFill="1" applyBorder="1" applyAlignment="1" applyProtection="0">
      <alignment horizontal="center" vertical="bottom"/>
    </xf>
    <xf numFmtId="49" fontId="34" fillId="51" borderId="73" applyNumberFormat="1" applyFont="1" applyFill="1" applyBorder="1" applyAlignment="1" applyProtection="0">
      <alignment horizontal="center" vertical="bottom"/>
    </xf>
    <xf numFmtId="49" fontId="0" fillId="7" borderId="157" applyNumberFormat="1" applyFont="1" applyFill="1" applyBorder="1" applyAlignment="1" applyProtection="0">
      <alignment vertical="top" wrapText="1"/>
    </xf>
    <xf numFmtId="49" fontId="34" fillId="51" borderId="158" applyNumberFormat="1" applyFont="1" applyFill="1" applyBorder="1" applyAlignment="1" applyProtection="0">
      <alignment horizontal="center" vertical="bottom"/>
    </xf>
    <xf numFmtId="0" fontId="6" fillId="51" borderId="159" applyNumberFormat="1" applyFont="1" applyFill="1" applyBorder="1" applyAlignment="1" applyProtection="0">
      <alignment horizontal="center" vertical="bottom"/>
    </xf>
    <xf numFmtId="49" fontId="6" fillId="51" borderId="159" applyNumberFormat="1" applyFont="1" applyFill="1" applyBorder="1" applyAlignment="1" applyProtection="0">
      <alignment horizontal="center" vertical="bottom"/>
    </xf>
    <xf numFmtId="49" fontId="6" fillId="51" borderId="160" applyNumberFormat="1" applyFont="1" applyFill="1" applyBorder="1" applyAlignment="1" applyProtection="0">
      <alignment horizontal="center" vertical="bottom"/>
    </xf>
    <xf numFmtId="49" fontId="0" fillId="7" borderId="74" applyNumberFormat="1" applyFont="1" applyFill="1" applyBorder="1" applyAlignment="1" applyProtection="0">
      <alignment vertical="top" wrapText="1"/>
    </xf>
    <xf numFmtId="0" fontId="6" fillId="7" borderId="161" applyNumberFormat="1" applyFont="1" applyFill="1" applyBorder="1" applyAlignment="1" applyProtection="0">
      <alignment horizontal="center" vertical="bottom"/>
    </xf>
    <xf numFmtId="0" fontId="6" fillId="7" borderId="162" applyNumberFormat="1" applyFont="1" applyFill="1" applyBorder="1" applyAlignment="1" applyProtection="0">
      <alignment horizontal="center" vertical="bottom"/>
    </xf>
    <xf numFmtId="0" fontId="6" fillId="7" borderId="163" applyNumberFormat="1" applyFont="1" applyFill="1" applyBorder="1" applyAlignment="1" applyProtection="0">
      <alignment horizontal="center" vertical="bottom"/>
    </xf>
    <xf numFmtId="0" fontId="6" fillId="7" borderId="164" applyNumberFormat="1" applyFont="1" applyFill="1" applyBorder="1" applyAlignment="1" applyProtection="0">
      <alignment horizontal="center" vertical="bottom"/>
    </xf>
    <xf numFmtId="0" fontId="6" fillId="7" borderId="165" applyNumberFormat="1" applyFont="1" applyFill="1" applyBorder="1" applyAlignment="1" applyProtection="0">
      <alignment horizontal="center" vertical="bottom"/>
    </xf>
    <xf numFmtId="49" fontId="0" fillId="51" borderId="80" applyNumberFormat="1" applyFont="1" applyFill="1" applyBorder="1" applyAlignment="1" applyProtection="0">
      <alignment vertical="top" wrapText="1"/>
    </xf>
    <xf numFmtId="0" fontId="6" fillId="51" borderId="158" applyNumberFormat="1" applyFont="1" applyFill="1" applyBorder="1" applyAlignment="1" applyProtection="0">
      <alignment horizontal="center" vertical="bottom"/>
    </xf>
    <xf numFmtId="0" fontId="6" fillId="51" borderId="160" applyNumberFormat="1" applyFont="1" applyFill="1" applyBorder="1" applyAlignment="1" applyProtection="0">
      <alignment horizontal="center" vertical="bottom"/>
    </xf>
    <xf numFmtId="0" fontId="6" fillId="7" borderId="166" applyNumberFormat="1" applyFont="1" applyFill="1" applyBorder="1" applyAlignment="1" applyProtection="0">
      <alignment horizontal="center" vertical="bottom"/>
    </xf>
    <xf numFmtId="0" fontId="6" fillId="7" borderId="167" applyNumberFormat="1" applyFont="1" applyFill="1" applyBorder="1" applyAlignment="1" applyProtection="0">
      <alignment horizontal="center" vertical="bottom"/>
    </xf>
    <xf numFmtId="0" fontId="6" fillId="7" borderId="168" applyNumberFormat="1" applyFont="1" applyFill="1" applyBorder="1" applyAlignment="1" applyProtection="0">
      <alignment horizontal="center" vertical="bottom"/>
    </xf>
    <xf numFmtId="49" fontId="0" fillId="7" borderId="169" applyNumberFormat="1" applyFont="1" applyFill="1" applyBorder="1" applyAlignment="1" applyProtection="0">
      <alignment vertical="top" wrapText="1"/>
    </xf>
    <xf numFmtId="0" fontId="6" fillId="7" borderId="170" applyNumberFormat="1" applyFont="1" applyFill="1" applyBorder="1" applyAlignment="1" applyProtection="0">
      <alignment horizontal="center" vertical="bottom"/>
    </xf>
    <xf numFmtId="0" fontId="6" fillId="7" borderId="171" applyNumberFormat="1" applyFont="1" applyFill="1" applyBorder="1" applyAlignment="1" applyProtection="0">
      <alignment horizontal="center" vertical="bottom"/>
    </xf>
    <xf numFmtId="0" fontId="6" fillId="7" borderId="172" applyNumberFormat="1" applyFont="1" applyFill="1" applyBorder="1" applyAlignment="1" applyProtection="0">
      <alignment horizontal="center" vertical="bottom"/>
    </xf>
    <xf numFmtId="0" fontId="6" fillId="7" borderId="173" applyNumberFormat="1" applyFont="1" applyFill="1" applyBorder="1" applyAlignment="1" applyProtection="0">
      <alignment horizontal="center" vertical="bottom"/>
    </xf>
    <xf numFmtId="0" fontId="6" fillId="7" borderId="174" applyNumberFormat="1" applyFont="1" applyFill="1" applyBorder="1" applyAlignment="1" applyProtection="0">
      <alignment horizontal="center" vertical="bottom"/>
    </xf>
    <xf numFmtId="49" fontId="0" fillId="7" borderId="175" applyNumberFormat="1" applyFont="1" applyFill="1" applyBorder="1" applyAlignment="1" applyProtection="0">
      <alignment vertical="top" wrapText="1"/>
    </xf>
    <xf numFmtId="0" fontId="6" fillId="7" borderId="176" applyNumberFormat="1" applyFont="1" applyFill="1" applyBorder="1" applyAlignment="1" applyProtection="0">
      <alignment horizontal="center" vertical="bottom"/>
    </xf>
    <xf numFmtId="0" fontId="6" fillId="7" borderId="177" applyNumberFormat="1" applyFont="1" applyFill="1" applyBorder="1" applyAlignment="1" applyProtection="0">
      <alignment horizontal="center" vertical="bottom"/>
    </xf>
    <xf numFmtId="0" fontId="6" fillId="7" borderId="178" applyNumberFormat="1" applyFont="1" applyFill="1" applyBorder="1" applyAlignment="1" applyProtection="0">
      <alignment horizontal="center" vertical="bottom"/>
    </xf>
    <xf numFmtId="0" fontId="6" fillId="7" borderId="179" applyNumberFormat="1" applyFont="1" applyFill="1" applyBorder="1" applyAlignment="1" applyProtection="0">
      <alignment horizontal="center" vertical="bottom"/>
    </xf>
    <xf numFmtId="0" fontId="6" fillId="7" borderId="5" applyNumberFormat="1" applyFont="1" applyFill="1" applyBorder="1" applyAlignment="1" applyProtection="0">
      <alignment horizontal="center" vertical="bottom"/>
    </xf>
    <xf numFmtId="0" fontId="6" fillId="7" borderId="6" applyNumberFormat="1" applyFont="1" applyFill="1" applyBorder="1" applyAlignment="1" applyProtection="0">
      <alignment horizontal="center" vertical="bottom"/>
    </xf>
    <xf numFmtId="0" fontId="6" fillId="7" borderId="180" applyNumberFormat="1" applyFont="1" applyFill="1" applyBorder="1" applyAlignment="1" applyProtection="0">
      <alignment horizontal="center" vertical="bottom"/>
    </xf>
    <xf numFmtId="0" fontId="6" fillId="7" borderId="181" applyNumberFormat="1" applyFont="1" applyFill="1" applyBorder="1" applyAlignment="1" applyProtection="0">
      <alignment horizontal="center" vertical="bottom"/>
    </xf>
    <xf numFmtId="49" fontId="5" fillId="7" borderId="181" applyNumberFormat="1" applyFont="1" applyFill="1" applyBorder="1" applyAlignment="1" applyProtection="0">
      <alignment horizontal="center" vertical="bottom"/>
    </xf>
    <xf numFmtId="0" fontId="6" fillId="7" borderId="182" applyNumberFormat="1" applyFont="1" applyFill="1" applyBorder="1" applyAlignment="1" applyProtection="0">
      <alignment horizontal="center" vertical="bottom"/>
    </xf>
    <xf numFmtId="0" fontId="6" fillId="7" borderId="183" applyNumberFormat="1" applyFont="1" applyFill="1" applyBorder="1" applyAlignment="1" applyProtection="0">
      <alignment horizontal="center" vertical="bottom"/>
    </xf>
    <xf numFmtId="49" fontId="0" fillId="7" borderId="184" applyNumberFormat="1" applyFont="1" applyFill="1" applyBorder="1" applyAlignment="1" applyProtection="0">
      <alignment vertical="top" wrapText="1"/>
    </xf>
    <xf numFmtId="0" fontId="6" fillId="7" borderId="185" applyNumberFormat="1" applyFont="1" applyFill="1" applyBorder="1" applyAlignment="1" applyProtection="0">
      <alignment horizontal="center" vertical="bottom"/>
    </xf>
    <xf numFmtId="0" fontId="6" fillId="7" borderId="186" applyNumberFormat="1" applyFont="1" applyFill="1" applyBorder="1" applyAlignment="1" applyProtection="0">
      <alignment horizontal="center" vertical="bottom"/>
    </xf>
    <xf numFmtId="0" fontId="6" fillId="7" borderId="187" applyNumberFormat="1" applyFont="1" applyFill="1" applyBorder="1" applyAlignment="1" applyProtection="0">
      <alignment horizontal="center" vertical="bottom"/>
    </xf>
    <xf numFmtId="0" fontId="6" fillId="7" borderId="188" applyNumberFormat="1" applyFont="1" applyFill="1" applyBorder="1" applyAlignment="1" applyProtection="0">
      <alignment horizontal="center" vertical="bottom"/>
    </xf>
    <xf numFmtId="0" fontId="4" fillId="49" borderId="146" applyNumberFormat="1" applyFont="1" applyFill="1" applyBorder="1" applyAlignment="1" applyProtection="0">
      <alignment vertical="bottom"/>
    </xf>
    <xf numFmtId="0" fontId="6" fillId="7" borderId="189" applyNumberFormat="1" applyFont="1" applyFill="1" applyBorder="1" applyAlignment="1" applyProtection="0">
      <alignment horizontal="center" vertical="bottom"/>
    </xf>
    <xf numFmtId="0" fontId="6" fillId="7" borderId="190" applyNumberFormat="1" applyFont="1" applyFill="1" applyBorder="1" applyAlignment="1" applyProtection="0">
      <alignment horizontal="center" vertical="bottom"/>
    </xf>
    <xf numFmtId="0" fontId="6" fillId="7" borderId="191" applyNumberFormat="1" applyFont="1" applyFill="1" applyBorder="1" applyAlignment="1" applyProtection="0">
      <alignment horizontal="center" vertical="bottom"/>
    </xf>
    <xf numFmtId="49" fontId="6" fillId="7" borderId="72" applyNumberFormat="1" applyFont="1" applyFill="1" applyBorder="1" applyAlignment="1" applyProtection="0">
      <alignment horizontal="center" vertical="center"/>
    </xf>
    <xf numFmtId="49" fontId="6" fillId="7" borderId="154" applyNumberFormat="1" applyFont="1" applyFill="1" applyBorder="1" applyAlignment="1" applyProtection="0">
      <alignment horizontal="center" vertical="bottom"/>
    </xf>
    <xf numFmtId="0" fontId="6" fillId="7" borderId="192" applyNumberFormat="1" applyFont="1" applyFill="1" applyBorder="1" applyAlignment="1" applyProtection="0">
      <alignment horizontal="center" vertical="bottom"/>
    </xf>
    <xf numFmtId="49" fontId="34" fillId="51" borderId="154" applyNumberFormat="1" applyFont="1" applyFill="1" applyBorder="1" applyAlignment="1" applyProtection="0">
      <alignment horizontal="center" vertical="top"/>
    </xf>
    <xf numFmtId="49" fontId="0" fillId="51" borderId="155" applyNumberFormat="1" applyFont="1" applyFill="1" applyBorder="1" applyAlignment="1" applyProtection="0">
      <alignment vertical="top" wrapText="1"/>
    </xf>
    <xf numFmtId="49" fontId="0" fillId="7" borderId="155" applyNumberFormat="1" applyFont="1" applyFill="1" applyBorder="1" applyAlignment="1" applyProtection="0">
      <alignment vertical="top" wrapText="1"/>
    </xf>
    <xf numFmtId="49" fontId="0" fillId="51" borderId="119" applyNumberFormat="1" applyFont="1" applyFill="1" applyBorder="1" applyAlignment="1" applyProtection="0">
      <alignment vertical="top" wrapText="1"/>
    </xf>
    <xf numFmtId="49" fontId="19" fillId="52" borderId="80" applyNumberFormat="1" applyFont="1" applyFill="1" applyBorder="1" applyAlignment="1" applyProtection="0">
      <alignment vertical="top" wrapText="1"/>
    </xf>
    <xf numFmtId="0" fontId="6" fillId="52" borderId="98" applyNumberFormat="1" applyFont="1" applyFill="1" applyBorder="1" applyAlignment="1" applyProtection="0">
      <alignment horizontal="center" vertical="bottom"/>
    </xf>
    <xf numFmtId="0" fontId="6" fillId="52" borderId="100" applyNumberFormat="1" applyFont="1" applyFill="1" applyBorder="1" applyAlignment="1" applyProtection="0">
      <alignment horizontal="center" vertical="bottom"/>
    </xf>
    <xf numFmtId="0" fontId="6" fillId="7" borderId="193" applyNumberFormat="1" applyFont="1" applyFill="1" applyBorder="1" applyAlignment="1" applyProtection="0">
      <alignment horizontal="center" vertical="bottom"/>
    </xf>
    <xf numFmtId="0" fontId="6" fillId="7" borderId="194" applyNumberFormat="1" applyFont="1" applyFill="1" applyBorder="1" applyAlignment="1" applyProtection="0">
      <alignment horizontal="center" vertical="bottom"/>
    </xf>
    <xf numFmtId="0" fontId="6" fillId="7" borderId="195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3">
    <dxf>
      <font>
        <color rgb="fffe2500"/>
      </font>
    </dxf>
    <dxf>
      <font>
        <color rgb="ffff0000"/>
      </font>
    </dxf>
    <dxf>
      <font>
        <color rgb="fffe25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79a8fe"/>
      <rgbColor rgb="ffff2d21"/>
      <rgbColor rgb="ffaaaaaa"/>
      <rgbColor rgb="ff53f95b"/>
      <rgbColor rgb="ff52f95c"/>
      <rgbColor rgb="ff28a5fe"/>
      <rgbColor rgb="ffffffff"/>
      <rgbColor rgb="ffff2600"/>
      <rgbColor rgb="ff1e9bfe"/>
      <rgbColor rgb="ffffee1f"/>
      <rgbColor rgb="ffff2c24"/>
      <rgbColor rgb="ff7dd32f"/>
      <rgbColor rgb="ffff8c13"/>
      <rgbColor rgb="ff8e64d9"/>
      <rgbColor rgb="ff5c9600"/>
      <rgbColor rgb="ffa7a6a6"/>
      <rgbColor rgb="fffef800"/>
      <rgbColor rgb="fffebe00"/>
      <rgbColor rgb="fff12b83"/>
      <rgbColor rgb="ffd46aee"/>
      <rgbColor rgb="ff2af91e"/>
      <rgbColor rgb="ff27a5fe"/>
      <rgbColor rgb="ffff2c23"/>
      <rgbColor rgb="ff7bd32f"/>
      <rgbColor rgb="ff8c64d9"/>
      <rgbColor rgb="ffdddcdc"/>
      <rgbColor rgb="fff12a82"/>
      <rgbColor rgb="ff29f91f"/>
      <rgbColor rgb="ffa7a7a7"/>
      <rgbColor rgb="fffe2500"/>
      <rgbColor rgb="ffa3de83"/>
      <rgbColor rgb="ffff0000"/>
      <rgbColor rgb="ff44affe"/>
      <rgbColor rgb="fffcf304"/>
      <rgbColor rgb="fffe6500"/>
      <rgbColor rgb="ffdb8164"/>
      <rgbColor rgb="ffdc1f05"/>
      <rgbColor rgb="ffa139db"/>
      <rgbColor rgb="ff3265fe"/>
      <rgbColor rgb="ff1fb613"/>
      <rgbColor rgb="ffd4d4d4"/>
      <rgbColor rgb="fff0e9d9"/>
      <rgbColor rgb="ff58c3c4"/>
      <rgbColor rgb="ff0432ff"/>
      <rgbColor rgb="fffbf204"/>
      <rgbColor rgb="ffdb8064"/>
      <rgbColor rgb="ffdc1e05"/>
      <rgbColor rgb="ff1fb612"/>
      <rgbColor rgb="ffb1b1b1"/>
      <rgbColor rgb="ff56c2c4"/>
      <rgbColor rgb="ff43affd"/>
      <rgbColor rgb="ff28a6ff"/>
      <rgbColor rgb="ff27a5ff"/>
      <rgbColor rgb="ffdddddd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/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hyperlink" Target="http://www.ibexholds.com/collections/pinches/products/alien-pinches" TargetMode="External"/><Relationship Id="rId2" Type="http://schemas.openxmlformats.org/officeDocument/2006/relationships/hyperlink" Target="http://www.ibexholds.com/collections/jugs/products/animals-1" TargetMode="External"/><Relationship Id="rId3" Type="http://schemas.openxmlformats.org/officeDocument/2006/relationships/hyperlink" Target="http://www.ibexholds.com/collections/footholds/products/bigfootholds-pe" TargetMode="External"/><Relationship Id="rId4" Type="http://schemas.openxmlformats.org/officeDocument/2006/relationships/hyperlink" Target="http://www.ibexholds.com/collections/training/products/campus-pockets-pe" TargetMode="External"/><Relationship Id="rId5" Type="http://schemas.openxmlformats.org/officeDocument/2006/relationships/hyperlink" Target="http://www.ibexholds.com/collections/jugs/products/droplets-pe" TargetMode="External"/><Relationship Id="rId6" Type="http://schemas.openxmlformats.org/officeDocument/2006/relationships/hyperlink" Target="http://www.ibexholds.com/collections/geometrics/products/euclid-pupils" TargetMode="External"/><Relationship Id="rId7" Type="http://schemas.openxmlformats.org/officeDocument/2006/relationships/hyperlink" Target="http://www.ibexholds.com/collections/footholds/products/footholds-bolt-ons" TargetMode="External"/><Relationship Id="rId8" Type="http://schemas.openxmlformats.org/officeDocument/2006/relationships/hyperlink" Target="http://www.ibexholds.com/products/hemisphere-8-pe" TargetMode="External"/><Relationship Id="rId9" Type="http://schemas.openxmlformats.org/officeDocument/2006/relationships/hyperlink" Target="http://www.ibexholds.com/products/hemisphere-10-cm-pe" TargetMode="External"/><Relationship Id="rId10" Type="http://schemas.openxmlformats.org/officeDocument/2006/relationships/hyperlink" Target="http://www.ibexholds.com/products/hemisphere-12-cm-pe" TargetMode="External"/><Relationship Id="rId11" Type="http://schemas.openxmlformats.org/officeDocument/2006/relationships/hyperlink" Target="http://www.ibexholds.com/products/hemisphere-15-cm-pe" TargetMode="External"/><Relationship Id="rId12" Type="http://schemas.openxmlformats.org/officeDocument/2006/relationships/hyperlink" Target="http://www.ibexholds.com/collections/jugs/products/jugs-by-definition-5-large-pe" TargetMode="External"/><Relationship Id="rId13" Type="http://schemas.openxmlformats.org/officeDocument/2006/relationships/hyperlink" Target="http://www.ibexholds.com/collections/jugs/products/jugs-by-definition-15-medium-pe" TargetMode="External"/><Relationship Id="rId14" Type="http://schemas.openxmlformats.org/officeDocument/2006/relationships/hyperlink" Target="http://www.ibexholds.com/collections/jugs/products/jug-pack" TargetMode="External"/><Relationship Id="rId15" Type="http://schemas.openxmlformats.org/officeDocument/2006/relationships/hyperlink" Target="http://www.ibexholds.com/collections/jugs/products/jug-pinch-pe" TargetMode="External"/><Relationship Id="rId16" Type="http://schemas.openxmlformats.org/officeDocument/2006/relationships/hyperlink" Target="http://www.ibexholds.com/collections/jugs/products/matala-incuts" TargetMode="External"/><Relationship Id="rId17" Type="http://schemas.openxmlformats.org/officeDocument/2006/relationships/hyperlink" Target="http://www.ibexholds.com/collections/jugs/products/matala-mini-jugs" TargetMode="External"/><Relationship Id="rId18" Type="http://schemas.openxmlformats.org/officeDocument/2006/relationships/hyperlink" Target="http://www.ibexholds.com/collections/jugs/products/matala-jugs-medium" TargetMode="External"/><Relationship Id="rId19" Type="http://schemas.openxmlformats.org/officeDocument/2006/relationships/hyperlink" Target="http://www.ibexholds.com/collections/jugs/products/matala-jugs-large" TargetMode="External"/><Relationship Id="rId20" Type="http://schemas.openxmlformats.org/officeDocument/2006/relationships/hyperlink" Target="http://www.ibexholds.com/collections/jugs/products/matala-roof-jugs-xl" TargetMode="External"/><Relationship Id="rId21" Type="http://schemas.openxmlformats.org/officeDocument/2006/relationships/hyperlink" Target="http://www.ibexholds.com/collections/jugs/products/matala-bombs" TargetMode="External"/><Relationship Id="rId22" Type="http://schemas.openxmlformats.org/officeDocument/2006/relationships/hyperlink" Target="http://www.ibexholds.com/collections/jugs/products/on-the-beach" TargetMode="External"/><Relationship Id="rId23" Type="http://schemas.openxmlformats.org/officeDocument/2006/relationships/hyperlink" Target="http://www.ibexholds.com/collections/jugs/products/pillow-lavas-playground-hand-holds-pe" TargetMode="External"/><Relationship Id="rId24" Type="http://schemas.openxmlformats.org/officeDocument/2006/relationships/hyperlink" Target="http://www.ibexholds.com/collections/pinches/products/pinches-hollow-front" TargetMode="External"/><Relationship Id="rId25" Type="http://schemas.openxmlformats.org/officeDocument/2006/relationships/hyperlink" Target="http://www.ibexholds.com/products/super-jug-pe" TargetMode="External"/><Relationship Id="rId26" Type="http://schemas.openxmlformats.org/officeDocument/2006/relationships/hyperlink" Target="http://www.ibexholds.com/collections/pinches/products/pinch-this-pe" TargetMode="External"/><Relationship Id="rId27" Type="http://schemas.openxmlformats.org/officeDocument/2006/relationships/hyperlink" Target="http://www.ibexholds.com/collections/pinches/products/pinch-that-pe" TargetMode="External"/><Relationship Id="rId28" Type="http://schemas.openxmlformats.org/officeDocument/2006/relationships/hyperlink" Target="http://www.ibexholds.com/products/training-pinches-rw-pe" TargetMode="External"/><Relationship Id="rId29" Type="http://schemas.openxmlformats.org/officeDocument/2006/relationships/hyperlink" Target="http://www.ibexholds.com/collections/slopers/products/slopers-matalas-pe" TargetMode="External"/><Relationship Id="rId30" Type="http://schemas.openxmlformats.org/officeDocument/2006/relationships/hyperlink" Target="http://www.ibexholds.com/collections/slopers/products/slopers-pure-simple" TargetMode="External"/><Relationship Id="rId31" Type="http://schemas.openxmlformats.org/officeDocument/2006/relationships/hyperlink" Target="http://www.ibexholds.com/collections/pinches/products/geometrics-the-pythagoreans-pe" TargetMode="External"/><Relationship Id="rId32" Type="http://schemas.openxmlformats.org/officeDocument/2006/relationships/hyperlink" Target="http://www.ibexholds.com/products/top-pe" TargetMode="External"/><Relationship Id="rId33" Type="http://schemas.openxmlformats.org/officeDocument/2006/relationships/hyperlink" Target="http://www.ibexholds.com/products/system-campus-pocket-pe" TargetMode="External"/><Relationship Id="rId34" Type="http://schemas.openxmlformats.org/officeDocument/2006/relationships/hyperlink" Target="http://www.ibexholds.com/collections/footholds/products/footholds-screw-ons" TargetMode="External"/><Relationship Id="rId35" Type="http://schemas.openxmlformats.org/officeDocument/2006/relationships/hyperlink" Target="http://www.ibexholds.com/products/hemisphere-10-cm-pe-pu" TargetMode="External"/><Relationship Id="rId36" Type="http://schemas.openxmlformats.org/officeDocument/2006/relationships/hyperlink" Target="http://www.ibexholds.com/collections/training/products/system-campus-hemispheres" TargetMode="External"/><Relationship Id="rId37" Type="http://schemas.openxmlformats.org/officeDocument/2006/relationships/hyperlink" Target="http://www.ibexholds.com/collections/jugs/products/honey-handles" TargetMode="External"/><Relationship Id="rId38" Type="http://schemas.openxmlformats.org/officeDocument/2006/relationships/hyperlink" Target="http://www.ibexholds.com/collections/pinches/products/klimt-pinches" TargetMode="External"/><Relationship Id="rId39" Type="http://schemas.openxmlformats.org/officeDocument/2006/relationships/hyperlink" Target="http://www.ibexholds.com/collections/slopers/products/knee-locker" TargetMode="External"/><Relationship Id="rId40" Type="http://schemas.openxmlformats.org/officeDocument/2006/relationships/hyperlink" Target="http://www.ibexholds.com/collections/jugs/products/nothing-silly-about-jug-norris" TargetMode="External"/><Relationship Id="rId41" Type="http://schemas.openxmlformats.org/officeDocument/2006/relationships/hyperlink" Target="http://www.ibexholds.com/collections/edges/products/on-the-edge" TargetMode="External"/><Relationship Id="rId42" Type="http://schemas.openxmlformats.org/officeDocument/2006/relationships/hyperlink" Target="http://www.ibexholds.com/collections/dual-texture/products/rail-3" TargetMode="External"/><Relationship Id="rId43" Type="http://schemas.openxmlformats.org/officeDocument/2006/relationships/hyperlink" Target="http://www.ibexholds.com/collections/training/products/training-pinches" TargetMode="External"/><Relationship Id="rId44" Type="http://schemas.openxmlformats.org/officeDocument/2006/relationships/hyperlink" Target="http://www.ibexholds.com/collections/training/products/training-pinches" TargetMode="External"/><Relationship Id="rId45" Type="http://schemas.openxmlformats.org/officeDocument/2006/relationships/hyperlink" Target="http://www.ibexholds.com/collections/training/products/rockway-training-gear-campus-pu" TargetMode="External"/><Relationship Id="rId46" Type="http://schemas.openxmlformats.org/officeDocument/2006/relationships/hyperlink" Target="http://www.ibexholds.com/collections/pockets/products/sky-rockets" TargetMode="External"/><Relationship Id="rId47" Type="http://schemas.openxmlformats.org/officeDocument/2006/relationships/hyperlink" Target="http://www.ibexholds.com/collections/edges/products/smoothies" TargetMode="External"/><Relationship Id="rId48" Type="http://schemas.openxmlformats.org/officeDocument/2006/relationships/hyperlink" Target="http://www.ibexholds.com/collections/edges/products/sweeties" TargetMode="External"/><Relationship Id="rId49" Type="http://schemas.openxmlformats.org/officeDocument/2006/relationships/hyperlink" Target="http://www.ibexholds.com/collections/jugs/products/super-jug" TargetMode="External"/><Relationship Id="rId50" Type="http://schemas.openxmlformats.org/officeDocument/2006/relationships/hyperlink" Target="http://www.ibexholds.com/collections/edges/products/switches" TargetMode="External"/><Relationship Id="rId51" Type="http://schemas.openxmlformats.org/officeDocument/2006/relationships/hyperlink" Target="http://www.ibexholds.com/products/top" TargetMode="External"/><Relationship Id="rId52" Type="http://schemas.openxmlformats.org/officeDocument/2006/relationships/hyperlink" Target="http://www.ibexholds.com/collections/training/products/training-balls" TargetMode="External"/><Relationship Id="rId53" Type="http://schemas.openxmlformats.org/officeDocument/2006/relationships/hyperlink" Target="http://www.ibexholds.com/collections/training/products/training-pins" TargetMode="External"/><Relationship Id="rId54" Type="http://schemas.openxmlformats.org/officeDocument/2006/relationships/hyperlink" Target="http://www.ibexholds.com/collections/slopers/products/t-sloper" TargetMode="External"/><Relationship Id="rId55" Type="http://schemas.openxmlformats.org/officeDocument/2006/relationships/hyperlink" Target="http://www.ibexholds.com/products/6b" TargetMode="External"/><Relationship Id="rId56" Type="http://schemas.openxmlformats.org/officeDocument/2006/relationships/hyperlink" Target="http://www.ibexholds.com/collections/jugs/products/39-to-go" TargetMode="External"/><Relationship Id="rId57" Type="http://schemas.openxmlformats.org/officeDocument/2006/relationships/hyperlink" Target="http://www.ibexholds.com/collections/giga-over-2500-cm3/products/41-to-go" TargetMode="External"/><Relationship Id="rId58" Type="http://schemas.openxmlformats.org/officeDocument/2006/relationships/hyperlink" Target="http://www.ibexholds.com/collections/pinches/products/42-to-go" TargetMode="External"/><Relationship Id="rId59" Type="http://schemas.openxmlformats.org/officeDocument/2006/relationships/hyperlink" Target="http://www.ibexholds.com/collections/jugs/products/44-to-go" TargetMode="External"/><Relationship Id="rId60" Type="http://schemas.openxmlformats.org/officeDocument/2006/relationships/hyperlink" Target="http://www.ibexholds.com/products/45-to-go" TargetMode="External"/><Relationship Id="rId61" Type="http://schemas.openxmlformats.org/officeDocument/2006/relationships/hyperlink" Target="http://www.ibexholds.com/collections/slopers/products/49-to-go-pu" TargetMode="External"/></Relationships>
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hyperlink" Target="http://www.ibexholds.com/collections/volumes/products/volume-1" TargetMode="External"/><Relationship Id="rId2" Type="http://schemas.openxmlformats.org/officeDocument/2006/relationships/hyperlink" Target="http://www.ibexholds.com/collections/volumes/products/volume-2" TargetMode="External"/><Relationship Id="rId3" Type="http://schemas.openxmlformats.org/officeDocument/2006/relationships/hyperlink" Target="http://www.ibexholds.com/collections/volumes/products/volume-3" TargetMode="External"/><Relationship Id="rId4" Type="http://schemas.openxmlformats.org/officeDocument/2006/relationships/hyperlink" Target="http://www.ibexholds.com/collections/volumes/products/volume-4" TargetMode="External"/><Relationship Id="rId5" Type="http://schemas.openxmlformats.org/officeDocument/2006/relationships/hyperlink" Target="http://www.ibexholds.com/collections/volumes/products/volume-5" TargetMode="External"/><Relationship Id="rId6" Type="http://schemas.openxmlformats.org/officeDocument/2006/relationships/hyperlink" Target="http://www.ibexholds.com/collections/volumes/products/volume-6" TargetMode="External"/><Relationship Id="rId7" Type="http://schemas.openxmlformats.org/officeDocument/2006/relationships/hyperlink" Target="http://www.ibexholds.com/collections/volumes/products/volume-7" TargetMode="External"/><Relationship Id="rId8" Type="http://schemas.openxmlformats.org/officeDocument/2006/relationships/hyperlink" Target="http://www.ibexholds.com/collections/volumes/products/onyx-bolt-on" TargetMode="External"/><Relationship Id="rId9" Type="http://schemas.openxmlformats.org/officeDocument/2006/relationships/hyperlink" Target="http://www.ibexholds.com/collections/volumes/products/sapphire-bolt-on" TargetMode="External"/><Relationship Id="rId10" Type="http://schemas.openxmlformats.org/officeDocument/2006/relationships/hyperlink" Target="http://www.ibexholds.com/collections/volumes/products/emerald-bolt-on" TargetMode="External"/><Relationship Id="rId11" Type="http://schemas.openxmlformats.org/officeDocument/2006/relationships/hyperlink" Target="http://www.ibexholds.com/collections/volumes/products/ruby-bolt-on" TargetMode="External"/><Relationship Id="rId12" Type="http://schemas.openxmlformats.org/officeDocument/2006/relationships/hyperlink" Target="http://www.ibexholds.com/collections/volumes/products/opal-bolt-on" TargetMode="External"/><Relationship Id="rId13" Type="http://schemas.openxmlformats.org/officeDocument/2006/relationships/hyperlink" Target="http://www.ibexholds.com/collections/volumes/products/turquoise-bolt-on" TargetMode="External"/><Relationship Id="rId14" Type="http://schemas.openxmlformats.org/officeDocument/2006/relationships/hyperlink" Target="http://www.ibexholds.com/collections/volumes/products/beryl-bolt-on" TargetMode="External"/><Relationship Id="rId15" Type="http://schemas.openxmlformats.org/officeDocument/2006/relationships/hyperlink" Target="http://www.ibexholds.com/collections/volumes/products/topaz-bolt-on" TargetMode="External"/><Relationship Id="rId16" Type="http://schemas.openxmlformats.org/officeDocument/2006/relationships/hyperlink" Target="http://www.ibexholds.com/collections/volumes/products/amethyst-screw-on" TargetMode="External"/><Relationship Id="rId17" Type="http://schemas.openxmlformats.org/officeDocument/2006/relationships/hyperlink" Target="http://www.ibexholds.com/collections/volumes/products/obsidian-screw-on" TargetMode="External"/><Relationship Id="rId18" Type="http://schemas.openxmlformats.org/officeDocument/2006/relationships/hyperlink" Target="http://www.ibexholds.com/collections/volumes/products/pyramit-modular-1" TargetMode="External"/><Relationship Id="rId19" Type="http://schemas.openxmlformats.org/officeDocument/2006/relationships/hyperlink" Target="http://www.ibexholds.com/collections/volumes/products/pyramit-modular-2" TargetMode="External"/><Relationship Id="rId20" Type="http://schemas.openxmlformats.org/officeDocument/2006/relationships/hyperlink" Target="http://www.ibexholds.com/collections/volumes/products/pyramit-modular-3" TargetMode="External"/><Relationship Id="rId21" Type="http://schemas.openxmlformats.org/officeDocument/2006/relationships/hyperlink" Target="http://www.ibexholds.com/collections/volumes/products/pyramit-modular-4" TargetMode="External"/><Relationship Id="rId22" Type="http://schemas.openxmlformats.org/officeDocument/2006/relationships/hyperlink" Target="http://www.ibexholds.com/collections/volumes/products/pyramit-modular-5" TargetMode="External"/><Relationship Id="rId23" Type="http://schemas.openxmlformats.org/officeDocument/2006/relationships/hyperlink" Target="http://www.ibexholds.com/collections/volumes/products/pyramit-modular-6" TargetMode="External"/><Relationship Id="rId24" Type="http://schemas.openxmlformats.org/officeDocument/2006/relationships/hyperlink" Target="http://www.ibexholds.com/collections/volumes/products/pyramit-modular-1-bolt-on" TargetMode="External"/><Relationship Id="rId25" Type="http://schemas.openxmlformats.org/officeDocument/2006/relationships/hyperlink" Target="http://www.ibexholds.com/collections/volumes/products/pyramit-modular-2-bolt-on" TargetMode="External"/><Relationship Id="rId26" Type="http://schemas.openxmlformats.org/officeDocument/2006/relationships/hyperlink" Target="http://www.ibexholds.com/collections/volumes/products/pyramit-modular-3-bolt-on" TargetMode="External"/><Relationship Id="rId27" Type="http://schemas.openxmlformats.org/officeDocument/2006/relationships/hyperlink" Target="http://www.ibexholds.com/collections/volumes/products/pyramit-modular-4-bolt-on" TargetMode="External"/><Relationship Id="rId28" Type="http://schemas.openxmlformats.org/officeDocument/2006/relationships/hyperlink" Target="http://www.ibexholds.com/collections/volumes/products/pyramit-modular-5-bolt-on" TargetMode="External"/><Relationship Id="rId29" Type="http://schemas.openxmlformats.org/officeDocument/2006/relationships/hyperlink" Target="http://www.ibexholds.com/collections/volumes/products/pyramit-modular-6-bolt-on" TargetMode="External"/><Relationship Id="rId30" Type="http://schemas.openxmlformats.org/officeDocument/2006/relationships/hyperlink" Target="http://www.ibexholds.com/collections/volumes/products/pyramit-unique-1" TargetMode="External"/><Relationship Id="rId31" Type="http://schemas.openxmlformats.org/officeDocument/2006/relationships/hyperlink" Target="http://www.ibexholds.com/collections/volumes/products/pyramit-unique-2" TargetMode="External"/><Relationship Id="rId32" Type="http://schemas.openxmlformats.org/officeDocument/2006/relationships/hyperlink" Target="http://www.ibexholds.com/collections/volumes/products/pyramit-unique-3" TargetMode="External"/><Relationship Id="rId33" Type="http://schemas.openxmlformats.org/officeDocument/2006/relationships/hyperlink" Target="http://www.ibexholds.com/collections/volumes/products/pyramit-unique-4" TargetMode="External"/><Relationship Id="rId34" Type="http://schemas.openxmlformats.org/officeDocument/2006/relationships/hyperlink" Target="http://www.ibexholds.com/collections/volumes/products/pyramit-unique-5" TargetMode="External"/><Relationship Id="rId35" Type="http://schemas.openxmlformats.org/officeDocument/2006/relationships/hyperlink" Target="http://www.ibexholds.com/collections/volumes/products/pyramit-unique-6" TargetMode="External"/><Relationship Id="rId36" Type="http://schemas.openxmlformats.org/officeDocument/2006/relationships/hyperlink" Target="http://www.ibexholds.com/collections/volumes/products/pyramit-unique-7" TargetMode="External"/><Relationship Id="rId37" Type="http://schemas.openxmlformats.org/officeDocument/2006/relationships/hyperlink" Target="http://www.ibexholds.com/collections/volumes/products/pyramit-unique-1-bolt-on" TargetMode="External"/><Relationship Id="rId38" Type="http://schemas.openxmlformats.org/officeDocument/2006/relationships/hyperlink" Target="http://www.ibexholds.com/collections/volumes/products/pyramit-unique-2-bolt-on" TargetMode="External"/><Relationship Id="rId39" Type="http://schemas.openxmlformats.org/officeDocument/2006/relationships/hyperlink" Target="http://www.ibexholds.com/collections/volumes/products/pyramit-unique-3-bolt-on" TargetMode="External"/><Relationship Id="rId40" Type="http://schemas.openxmlformats.org/officeDocument/2006/relationships/hyperlink" Target="http://www.ibexholds.com/collections/volumes/products/pyramit-unique-4-bolt-on" TargetMode="External"/><Relationship Id="rId41" Type="http://schemas.openxmlformats.org/officeDocument/2006/relationships/hyperlink" Target="http://www.ibexholds.com/collections/volumes/products/pyramit-unique-5-bolt-on" TargetMode="External"/><Relationship Id="rId42" Type="http://schemas.openxmlformats.org/officeDocument/2006/relationships/hyperlink" Target="http://www.ibexholds.com/collections/volumes/products/pyramit-unique-6-bolt-on" TargetMode="External"/><Relationship Id="rId43" Type="http://schemas.openxmlformats.org/officeDocument/2006/relationships/hyperlink" Target="http://www.ibexholds.com/collections/volumes/products/pyramit-unique-7-bolt-on" TargetMode="External"/><Relationship Id="rId44" Type="http://schemas.openxmlformats.org/officeDocument/2006/relationships/drawing" Target="../drawings/drawing1.xml"/><Relationship Id="rId45" Type="http://schemas.openxmlformats.org/officeDocument/2006/relationships/vmlDrawing" Target="../drawings/vmlDrawing1.vml"/><Relationship Id="rId46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N25"/>
  <sheetViews>
    <sheetView workbookViewId="0" showGridLines="0" defaultGridColor="1"/>
  </sheetViews>
  <sheetFormatPr defaultColWidth="21.3333" defaultRowHeight="15.4" customHeight="1" outlineLevelRow="0" outlineLevelCol="0"/>
  <cols>
    <col min="1" max="1" width="21.3516" style="1" customWidth="1"/>
    <col min="2" max="2" width="9.5" style="1" customWidth="1"/>
    <col min="3" max="3" width="10.8516" style="1" customWidth="1"/>
    <col min="4" max="4" width="20.6719" style="1" customWidth="1"/>
    <col min="5" max="5" width="1.35156" style="1" customWidth="1"/>
    <col min="6" max="6" width="1.35156" style="1" customWidth="1"/>
    <col min="7" max="7" width="19.6719" style="1" customWidth="1"/>
    <col min="8" max="8" width="9.17188" style="1" customWidth="1"/>
    <col min="9" max="9" width="6.67188" style="1" customWidth="1"/>
    <col min="10" max="10" width="4.17188" style="1" customWidth="1"/>
    <col min="11" max="11" width="2.5" style="1" customWidth="1"/>
    <col min="12" max="12" width="3" style="1" customWidth="1"/>
    <col min="13" max="13" width="11" style="1" customWidth="1"/>
    <col min="14" max="14" width="13.5" style="1" customWidth="1"/>
    <col min="15" max="256" width="21.3516" style="1" customWidth="1"/>
  </cols>
  <sheetData>
    <row r="1" ht="14.2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ht="14.2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ht="14.2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ht="14.25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</row>
    <row r="5" ht="14.25" customHeigh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ht="14.25" customHeight="1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ht="11" customHeight="1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0"/>
    </row>
    <row r="8" ht="28.25" customHeight="1">
      <c r="A8" t="s" s="11">
        <v>1</v>
      </c>
      <c r="B8" s="12"/>
      <c r="C8" s="12"/>
      <c r="D8" s="12"/>
      <c r="E8" s="12"/>
      <c r="F8" s="12"/>
      <c r="G8" s="13"/>
      <c r="H8" s="12"/>
      <c r="I8" s="12"/>
      <c r="J8" s="12"/>
      <c r="K8" s="12"/>
      <c r="L8" s="12"/>
      <c r="M8" s="12"/>
      <c r="N8" s="14"/>
    </row>
    <row r="9" ht="22.95" customHeight="1">
      <c r="A9" t="s" s="15">
        <v>2</v>
      </c>
      <c r="B9" s="12"/>
      <c r="C9" s="12"/>
      <c r="D9" s="12"/>
      <c r="E9" s="12"/>
      <c r="F9" s="16"/>
      <c r="G9" t="s" s="17">
        <v>3</v>
      </c>
      <c r="H9" s="12"/>
      <c r="I9" s="12"/>
      <c r="J9" s="12"/>
      <c r="K9" s="12"/>
      <c r="L9" s="12"/>
      <c r="M9" s="12"/>
      <c r="N9" s="14"/>
    </row>
    <row r="10" ht="23.15" customHeight="1">
      <c r="A10" t="s" s="18">
        <v>4</v>
      </c>
      <c r="B10" s="19"/>
      <c r="C10" s="20"/>
      <c r="D10" s="20"/>
      <c r="E10" s="21"/>
      <c r="F10" s="22"/>
      <c r="G10" t="s" s="23">
        <v>4</v>
      </c>
      <c r="H10" s="24"/>
      <c r="I10" s="20"/>
      <c r="J10" s="20"/>
      <c r="K10" s="20"/>
      <c r="L10" s="20"/>
      <c r="M10" s="20"/>
      <c r="N10" s="25"/>
    </row>
    <row r="11" ht="21.15" customHeight="1">
      <c r="A11" t="s" s="26">
        <v>5</v>
      </c>
      <c r="B11" s="27"/>
      <c r="C11" s="28"/>
      <c r="D11" s="28"/>
      <c r="E11" s="29"/>
      <c r="F11" s="30"/>
      <c r="G11" t="s" s="31">
        <v>6</v>
      </c>
      <c r="H11" s="32"/>
      <c r="I11" s="28"/>
      <c r="J11" s="28"/>
      <c r="K11" s="28"/>
      <c r="L11" s="28"/>
      <c r="M11" s="28"/>
      <c r="N11" s="33"/>
    </row>
    <row r="12" ht="19.65" customHeight="1">
      <c r="A12" t="s" s="26">
        <v>7</v>
      </c>
      <c r="B12" s="27"/>
      <c r="C12" s="28"/>
      <c r="D12" s="28"/>
      <c r="E12" s="29"/>
      <c r="F12" s="30"/>
      <c r="G12" t="s" s="31">
        <v>7</v>
      </c>
      <c r="H12" s="32"/>
      <c r="I12" s="28"/>
      <c r="J12" s="28"/>
      <c r="K12" s="28"/>
      <c r="L12" s="28"/>
      <c r="M12" s="28"/>
      <c r="N12" s="33"/>
    </row>
    <row r="13" ht="21.2" customHeight="1">
      <c r="A13" t="s" s="26">
        <v>8</v>
      </c>
      <c r="B13" s="27"/>
      <c r="C13" s="28"/>
      <c r="D13" s="28"/>
      <c r="E13" s="29"/>
      <c r="F13" s="30"/>
      <c r="G13" t="s" s="31">
        <v>9</v>
      </c>
      <c r="H13" s="32"/>
      <c r="I13" s="28"/>
      <c r="J13" s="28"/>
      <c r="K13" s="28"/>
      <c r="L13" s="28"/>
      <c r="M13" s="28"/>
      <c r="N13" s="33"/>
    </row>
    <row r="14" ht="20.65" customHeight="1">
      <c r="A14" t="s" s="26">
        <v>9</v>
      </c>
      <c r="B14" s="27"/>
      <c r="C14" s="28"/>
      <c r="D14" s="28"/>
      <c r="E14" s="29"/>
      <c r="F14" s="30"/>
      <c r="G14" t="s" s="31">
        <v>10</v>
      </c>
      <c r="H14" s="32"/>
      <c r="I14" s="28"/>
      <c r="J14" s="28"/>
      <c r="K14" s="28"/>
      <c r="L14" s="28"/>
      <c r="M14" s="28"/>
      <c r="N14" s="33"/>
    </row>
    <row r="15" ht="21.25" customHeight="1">
      <c r="A15" t="s" s="26">
        <v>10</v>
      </c>
      <c r="B15" s="27"/>
      <c r="C15" s="28"/>
      <c r="D15" s="28"/>
      <c r="E15" s="29"/>
      <c r="F15" s="30"/>
      <c r="G15" t="s" s="34">
        <v>11</v>
      </c>
      <c r="H15" s="35"/>
      <c r="I15" s="36"/>
      <c r="J15" s="36"/>
      <c r="K15" s="36"/>
      <c r="L15" s="36"/>
      <c r="M15" s="36"/>
      <c r="N15" s="37"/>
    </row>
    <row r="16" ht="25.75" customHeight="1">
      <c r="A16" t="s" s="38">
        <v>11</v>
      </c>
      <c r="B16" s="39"/>
      <c r="C16" s="40"/>
      <c r="D16" s="40"/>
      <c r="E16" s="41"/>
      <c r="F16" s="42"/>
      <c r="G16" s="43"/>
      <c r="H16" s="44"/>
      <c r="I16" s="45"/>
      <c r="J16" s="45"/>
      <c r="K16" s="45"/>
      <c r="L16" s="45"/>
      <c r="M16" s="45"/>
      <c r="N16" s="46"/>
    </row>
    <row r="17" ht="14.25" customHeight="1">
      <c r="A17" t="s" s="47">
        <v>12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4"/>
    </row>
    <row r="18" ht="9" customHeight="1">
      <c r="A18" s="8"/>
      <c r="B18" s="9"/>
      <c r="C18" s="9"/>
      <c r="D18" s="9"/>
      <c r="E18" s="6"/>
      <c r="F18" s="6"/>
      <c r="G18" s="9"/>
      <c r="H18" s="9"/>
      <c r="I18" s="9"/>
      <c r="J18" s="9"/>
      <c r="K18" s="9"/>
      <c r="L18" s="9"/>
      <c r="M18" s="9"/>
      <c r="N18" s="10"/>
    </row>
    <row r="19" ht="28.5" customHeight="1">
      <c r="A19" t="s" s="48">
        <v>13</v>
      </c>
      <c r="B19" t="s" s="49">
        <v>14</v>
      </c>
      <c r="C19" t="s" s="50">
        <v>15</v>
      </c>
      <c r="D19" t="s" s="51">
        <v>16</v>
      </c>
      <c r="E19" s="52"/>
      <c r="F19" s="53"/>
      <c r="G19" t="s" s="54">
        <v>17</v>
      </c>
      <c r="H19" t="s" s="55">
        <v>18</v>
      </c>
      <c r="I19" t="s" s="56">
        <v>19</v>
      </c>
      <c r="J19" s="57"/>
      <c r="K19" s="57"/>
      <c r="L19" s="57"/>
      <c r="M19" s="57"/>
      <c r="N19" s="58"/>
    </row>
    <row r="20" ht="14.25" customHeight="1">
      <c r="A20" t="s" s="59">
        <v>20</v>
      </c>
      <c r="B20" s="60">
        <f>'CLIMBING HOLDS '!O94</f>
        <v>0</v>
      </c>
      <c r="C20" s="61">
        <f>'CLIMBING HOLDS '!W94</f>
        <v>0</v>
      </c>
      <c r="D20" s="62">
        <f>'CLIMBING HOLDS '!X94</f>
        <v>0</v>
      </c>
      <c r="E20" s="63"/>
      <c r="F20" s="64"/>
      <c r="G20" t="s" s="65">
        <v>21</v>
      </c>
      <c r="H20" s="66">
        <f>'CLIMBING HOLDS '!AJ94</f>
        <v>0</v>
      </c>
      <c r="I20" t="s" s="67">
        <v>22</v>
      </c>
      <c r="J20" s="57"/>
      <c r="K20" s="57"/>
      <c r="L20" s="57"/>
      <c r="M20" s="58"/>
      <c r="N20" s="68">
        <f>'CLIMBING HOLDS '!BK94</f>
        <v>0</v>
      </c>
    </row>
    <row r="21" ht="14.25" customHeight="1">
      <c r="A21" t="s" s="26">
        <v>23</v>
      </c>
      <c r="B21" s="69">
        <f>'PLYWOOD VOLUMES'!P55</f>
        <v>0</v>
      </c>
      <c r="C21" s="70"/>
      <c r="D21" s="71">
        <f>'PLYWOOD VOLUMES'!Q55</f>
        <v>0</v>
      </c>
      <c r="E21" s="63"/>
      <c r="F21" s="64"/>
      <c r="G21" t="s" s="72">
        <v>24</v>
      </c>
      <c r="H21" s="73">
        <f>'CLIMBING HOLDS '!AK94</f>
        <v>0</v>
      </c>
      <c r="I21" s="74"/>
      <c r="J21" s="75"/>
      <c r="K21" s="75"/>
      <c r="L21" s="75"/>
      <c r="M21" s="75"/>
      <c r="N21" s="76"/>
    </row>
    <row r="22" ht="14.25" customHeight="1">
      <c r="A22" t="s" s="77">
        <v>25</v>
      </c>
      <c r="B22" s="78"/>
      <c r="C22" s="79"/>
      <c r="D22" s="80">
        <f>'HARDWARE'!C27</f>
        <v>0</v>
      </c>
      <c r="E22" s="63"/>
      <c r="F22" s="64"/>
      <c r="G22" t="s" s="72">
        <v>26</v>
      </c>
      <c r="H22" s="73">
        <f>'CLIMBING HOLDS '!AL94</f>
        <v>0</v>
      </c>
      <c r="I22" s="52"/>
      <c r="J22" s="81"/>
      <c r="K22" s="81"/>
      <c r="L22" s="81"/>
      <c r="M22" s="81"/>
      <c r="N22" s="82"/>
    </row>
    <row r="23" ht="15" customHeight="1">
      <c r="A23" t="s" s="83">
        <v>27</v>
      </c>
      <c r="B23" s="84">
        <f>SUM(B20)+B21</f>
        <v>0</v>
      </c>
      <c r="C23" s="85">
        <f>SUM(C20:C21)</f>
        <v>0</v>
      </c>
      <c r="D23" s="86">
        <f>D20+D21+D22</f>
        <v>0</v>
      </c>
      <c r="E23" s="87"/>
      <c r="F23" s="64"/>
      <c r="G23" t="s" s="72">
        <v>28</v>
      </c>
      <c r="H23" s="73">
        <f>'CLIMBING HOLDS '!AM94</f>
        <v>0</v>
      </c>
      <c r="I23" s="63"/>
      <c r="J23" s="88"/>
      <c r="K23" s="88"/>
      <c r="L23" s="88"/>
      <c r="M23" s="88"/>
      <c r="N23" s="89"/>
    </row>
    <row r="24" ht="14.25" customHeight="1">
      <c r="A24" t="s" s="90">
        <v>29</v>
      </c>
      <c r="B24" s="91"/>
      <c r="C24" s="92"/>
      <c r="D24" s="93">
        <f>'CLIMBING HOLDS '!AP94+'PLYWOOD VOLUMES'!R55</f>
        <v>0</v>
      </c>
      <c r="E24" s="87"/>
      <c r="F24" s="64"/>
      <c r="G24" t="s" s="72">
        <v>30</v>
      </c>
      <c r="H24" s="73">
        <f>'CLIMBING HOLDS '!AN94</f>
        <v>0</v>
      </c>
      <c r="I24" s="63"/>
      <c r="J24" s="88"/>
      <c r="K24" s="88"/>
      <c r="L24" s="88"/>
      <c r="M24" s="88"/>
      <c r="N24" s="89"/>
    </row>
    <row r="25" ht="14.25" customHeight="1">
      <c r="A25" s="94"/>
      <c r="B25" s="95"/>
      <c r="C25" s="95"/>
      <c r="D25" s="96"/>
      <c r="E25" s="97"/>
      <c r="F25" s="98"/>
      <c r="G25" t="s" s="99">
        <v>31</v>
      </c>
      <c r="H25" s="100">
        <f>'CLIMBING HOLDS '!AO94</f>
        <v>0</v>
      </c>
      <c r="I25" s="101"/>
      <c r="J25" s="102"/>
      <c r="K25" s="102"/>
      <c r="L25" s="102"/>
      <c r="M25" s="102"/>
      <c r="N25" s="103"/>
    </row>
  </sheetData>
  <mergeCells count="20">
    <mergeCell ref="H16:N16"/>
    <mergeCell ref="B15:E15"/>
    <mergeCell ref="H14:N14"/>
    <mergeCell ref="B16:E16"/>
    <mergeCell ref="H15:N15"/>
    <mergeCell ref="B14:E14"/>
    <mergeCell ref="H13:N13"/>
    <mergeCell ref="H12:N12"/>
    <mergeCell ref="A17:N18"/>
    <mergeCell ref="B13:E13"/>
    <mergeCell ref="B12:E12"/>
    <mergeCell ref="H11:N11"/>
    <mergeCell ref="B11:E11"/>
    <mergeCell ref="H10:N10"/>
    <mergeCell ref="B10:E10"/>
    <mergeCell ref="A9:F9"/>
    <mergeCell ref="G8:N8"/>
    <mergeCell ref="G9:N9"/>
    <mergeCell ref="A8:F8"/>
    <mergeCell ref="A1:N7"/>
  </mergeCells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&amp;L&amp;"Helvetica,Regular"&amp;12&amp;K000000	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BK94"/>
  <sheetViews>
    <sheetView workbookViewId="0" showGridLines="0" defaultGridColor="1"/>
  </sheetViews>
  <sheetFormatPr defaultColWidth="27.5" defaultRowHeight="12" customHeight="1" outlineLevelRow="0" outlineLevelCol="0"/>
  <cols>
    <col min="1" max="1" width="40.8516" style="104" customWidth="1"/>
    <col min="2" max="2" width="18.8516" style="104" customWidth="1"/>
    <col min="3" max="3" width="4" style="104" customWidth="1"/>
    <col min="4" max="4" width="8.35156" style="104" customWidth="1"/>
    <col min="5" max="5" width="7.85156" style="104" customWidth="1"/>
    <col min="6" max="6" width="8.67188" style="104" customWidth="1"/>
    <col min="7" max="7" width="8.5" style="104" customWidth="1"/>
    <col min="8" max="8" width="8.35156" style="104" customWidth="1"/>
    <col min="9" max="9" width="8.5" style="104" customWidth="1"/>
    <col min="10" max="10" width="7.5" style="104" customWidth="1"/>
    <col min="11" max="11" width="10" style="104" customWidth="1"/>
    <col min="12" max="12" width="8.85156" style="104" customWidth="1"/>
    <col min="13" max="13" width="7.85156" style="104" customWidth="1"/>
    <col min="14" max="14" width="9.35156" style="104" customWidth="1"/>
    <col min="15" max="15" width="17.8516" style="104" customWidth="1"/>
    <col min="16" max="16" width="6.67188" style="104" customWidth="1"/>
    <col min="17" max="17" width="7.35156" style="104" customWidth="1"/>
    <col min="18" max="18" width="6.35156" style="104" customWidth="1"/>
    <col min="19" max="19" width="7" style="104" customWidth="1"/>
    <col min="20" max="20" width="6.35156" style="104" customWidth="1"/>
    <col min="21" max="21" width="14" style="104" customWidth="1"/>
    <col min="22" max="22" width="19.8516" style="104" customWidth="1"/>
    <col min="23" max="23" width="12.8516" style="104" customWidth="1"/>
    <col min="24" max="24" width="15.8516" style="104" customWidth="1"/>
    <col min="25" max="25" hidden="1" width="27.5" style="104" customWidth="1"/>
    <col min="26" max="26" hidden="1" width="27.5" style="104" customWidth="1"/>
    <col min="27" max="27" hidden="1" width="27.5" style="104" customWidth="1"/>
    <col min="28" max="28" hidden="1" width="27.5" style="104" customWidth="1"/>
    <col min="29" max="29" hidden="1" width="27.5" style="104" customWidth="1"/>
    <col min="30" max="30" hidden="1" width="27.5" style="104" customWidth="1"/>
    <col min="31" max="31" hidden="1" width="27.5" style="104" customWidth="1"/>
    <col min="32" max="32" hidden="1" width="27.5" style="104" customWidth="1"/>
    <col min="33" max="33" hidden="1" width="27.5" style="104" customWidth="1"/>
    <col min="34" max="34" hidden="1" width="27.5" style="104" customWidth="1"/>
    <col min="35" max="35" hidden="1" width="27.5" style="104" customWidth="1"/>
    <col min="36" max="36" width="9.85156" style="104" customWidth="1"/>
    <col min="37" max="37" width="9.85156" style="104" customWidth="1"/>
    <col min="38" max="38" width="9.85156" style="104" customWidth="1"/>
    <col min="39" max="39" width="9.85156" style="104" customWidth="1"/>
    <col min="40" max="40" width="9.85156" style="104" customWidth="1"/>
    <col min="41" max="41" width="9.85156" style="104" customWidth="1"/>
    <col min="42" max="42" width="9.85156" style="104" customWidth="1"/>
    <col min="43" max="43" width="2.67188" style="104" customWidth="1"/>
    <col min="44" max="44" width="4" style="104" customWidth="1"/>
    <col min="45" max="45" width="4" style="104" customWidth="1"/>
    <col min="46" max="46" width="4" style="104" customWidth="1"/>
    <col min="47" max="47" width="4" style="104" customWidth="1"/>
    <col min="48" max="48" width="4" style="104" customWidth="1"/>
    <col min="49" max="49" width="4" style="104" customWidth="1"/>
    <col min="50" max="50" width="4" style="104" customWidth="1"/>
    <col min="51" max="51" width="4" style="104" customWidth="1"/>
    <col min="52" max="52" width="4" style="104" customWidth="1"/>
    <col min="53" max="53" width="4" style="104" customWidth="1"/>
    <col min="54" max="54" width="4" style="104" customWidth="1"/>
    <col min="55" max="55" width="4" style="104" customWidth="1"/>
    <col min="56" max="56" width="4" style="104" customWidth="1"/>
    <col min="57" max="57" width="4" style="104" customWidth="1"/>
    <col min="58" max="58" width="4" style="104" customWidth="1"/>
    <col min="59" max="59" width="4" style="104" customWidth="1"/>
    <col min="60" max="60" width="2.67188" style="104" customWidth="1"/>
    <col min="61" max="61" width="20.1719" style="104" customWidth="1"/>
    <col min="62" max="62" width="20.1719" style="104" customWidth="1"/>
    <col min="63" max="63" width="20.1719" style="104" customWidth="1"/>
    <col min="64" max="256" width="27.5" style="104" customWidth="1"/>
  </cols>
  <sheetData>
    <row r="1" ht="41.55" customHeight="1">
      <c r="A1" t="s" s="105">
        <v>32</v>
      </c>
      <c r="B1" s="106"/>
      <c r="C1" s="107"/>
      <c r="D1" s="12"/>
      <c r="E1" s="107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6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9"/>
      <c r="AK1" s="110"/>
      <c r="AL1" s="110"/>
      <c r="AM1" s="110"/>
      <c r="AN1" s="110"/>
      <c r="AO1" s="110"/>
      <c r="AP1" s="111"/>
      <c r="AQ1" s="112"/>
      <c r="AR1" s="113"/>
      <c r="AS1" s="110"/>
      <c r="AT1" t="s" s="114">
        <v>33</v>
      </c>
      <c r="AU1" s="115"/>
      <c r="AV1" s="110"/>
      <c r="AW1" s="110"/>
      <c r="AX1" s="110"/>
      <c r="AY1" s="111"/>
      <c r="AZ1" s="113"/>
      <c r="BA1" s="110"/>
      <c r="BB1" s="110"/>
      <c r="BC1" t="s" s="116">
        <v>34</v>
      </c>
      <c r="BD1" s="117"/>
      <c r="BE1" s="110"/>
      <c r="BF1" s="110"/>
      <c r="BG1" s="111"/>
      <c r="BH1" s="118"/>
      <c r="BI1" s="111"/>
      <c r="BJ1" t="s" s="119">
        <v>35</v>
      </c>
      <c r="BK1" t="s" s="120">
        <v>36</v>
      </c>
    </row>
    <row r="2" ht="33.5" customHeight="1">
      <c r="A2" t="s" s="121">
        <v>0</v>
      </c>
      <c r="B2" s="122"/>
      <c r="C2" s="107"/>
      <c r="D2" s="14"/>
      <c r="E2" t="s" s="123">
        <v>37</v>
      </c>
      <c r="F2" s="12"/>
      <c r="G2" s="12"/>
      <c r="H2" s="12"/>
      <c r="I2" s="12"/>
      <c r="J2" s="12"/>
      <c r="K2" s="12"/>
      <c r="L2" s="12"/>
      <c r="M2" s="12"/>
      <c r="N2" s="14"/>
      <c r="O2" s="124"/>
      <c r="P2" t="s" s="123">
        <v>38</v>
      </c>
      <c r="Q2" s="12"/>
      <c r="R2" s="12"/>
      <c r="S2" s="12"/>
      <c r="T2" s="14"/>
      <c r="U2" s="124"/>
      <c r="V2" t="s" s="125">
        <v>39</v>
      </c>
      <c r="W2" s="126"/>
      <c r="X2" s="127"/>
      <c r="Y2" s="128"/>
      <c r="Z2" s="129"/>
      <c r="AA2" s="129"/>
      <c r="AB2" s="129"/>
      <c r="AC2" s="129"/>
      <c r="AD2" s="129"/>
      <c r="AE2" s="129"/>
      <c r="AF2" s="129"/>
      <c r="AG2" s="129"/>
      <c r="AH2" s="129"/>
      <c r="AI2" s="130"/>
      <c r="AJ2" s="131"/>
      <c r="AK2" s="132"/>
      <c r="AL2" s="132"/>
      <c r="AM2" s="132"/>
      <c r="AN2" s="132"/>
      <c r="AO2" s="133"/>
      <c r="AP2" s="134"/>
      <c r="AQ2" s="112"/>
      <c r="AR2" s="135"/>
      <c r="AS2" s="136"/>
      <c r="AT2" s="136"/>
      <c r="AU2" s="136"/>
      <c r="AV2" s="136"/>
      <c r="AW2" s="136"/>
      <c r="AX2" s="136"/>
      <c r="AY2" s="134"/>
      <c r="AZ2" s="135"/>
      <c r="BA2" s="136"/>
      <c r="BB2" s="136"/>
      <c r="BC2" s="136"/>
      <c r="BD2" s="136"/>
      <c r="BE2" s="136"/>
      <c r="BF2" s="136"/>
      <c r="BG2" s="134"/>
      <c r="BH2" s="112"/>
      <c r="BI2" s="137"/>
      <c r="BJ2" s="137"/>
      <c r="BK2" t="s" s="138">
        <v>40</v>
      </c>
    </row>
    <row r="3" ht="40.55" customHeight="1">
      <c r="A3" t="s" s="105">
        <v>41</v>
      </c>
      <c r="B3" s="139"/>
      <c r="C3" t="s" s="140">
        <v>42</v>
      </c>
      <c r="D3" t="s" s="141">
        <v>43</v>
      </c>
      <c r="E3" t="s" s="142">
        <v>44</v>
      </c>
      <c r="F3" t="s" s="143">
        <v>45</v>
      </c>
      <c r="G3" t="s" s="144">
        <v>46</v>
      </c>
      <c r="H3" t="s" s="145">
        <v>47</v>
      </c>
      <c r="I3" t="s" s="146">
        <v>48</v>
      </c>
      <c r="J3" t="s" s="147">
        <v>49</v>
      </c>
      <c r="K3" t="s" s="148">
        <v>50</v>
      </c>
      <c r="L3" t="s" s="149">
        <v>51</v>
      </c>
      <c r="M3" t="s" s="150">
        <v>52</v>
      </c>
      <c r="N3" t="s" s="151">
        <v>53</v>
      </c>
      <c r="O3" t="s" s="152">
        <v>54</v>
      </c>
      <c r="P3" t="s" s="153">
        <v>45</v>
      </c>
      <c r="Q3" t="s" s="154">
        <v>48</v>
      </c>
      <c r="R3" t="s" s="155">
        <v>55</v>
      </c>
      <c r="S3" t="s" s="156">
        <v>49</v>
      </c>
      <c r="T3" t="s" s="157">
        <v>47</v>
      </c>
      <c r="U3" t="s" s="158">
        <v>54</v>
      </c>
      <c r="V3" t="s" s="158">
        <v>54</v>
      </c>
      <c r="W3" t="s" s="159">
        <v>56</v>
      </c>
      <c r="X3" t="s" s="160">
        <v>43</v>
      </c>
      <c r="Y3" s="128"/>
      <c r="Z3" s="129"/>
      <c r="AA3" s="129"/>
      <c r="AB3" s="129"/>
      <c r="AC3" s="129"/>
      <c r="AD3" s="129"/>
      <c r="AE3" s="129"/>
      <c r="AF3" s="129"/>
      <c r="AG3" s="129"/>
      <c r="AH3" s="129"/>
      <c r="AI3" s="130"/>
      <c r="AJ3" t="s" s="161">
        <v>21</v>
      </c>
      <c r="AK3" t="s" s="162">
        <v>24</v>
      </c>
      <c r="AL3" t="s" s="162">
        <v>26</v>
      </c>
      <c r="AM3" t="s" s="162">
        <v>28</v>
      </c>
      <c r="AN3" t="s" s="163">
        <v>30</v>
      </c>
      <c r="AO3" t="s" s="164">
        <v>31</v>
      </c>
      <c r="AP3" t="s" s="165">
        <v>57</v>
      </c>
      <c r="AQ3" s="166"/>
      <c r="AR3" s="167"/>
      <c r="AS3" s="168"/>
      <c r="AT3" s="168"/>
      <c r="AU3" s="168"/>
      <c r="AV3" s="168"/>
      <c r="AW3" s="168"/>
      <c r="AX3" t="s" s="169">
        <v>58</v>
      </c>
      <c r="AY3" s="169"/>
      <c r="AZ3" s="168"/>
      <c r="BA3" s="168"/>
      <c r="BB3" s="168"/>
      <c r="BC3" s="168"/>
      <c r="BD3" s="168"/>
      <c r="BE3" s="168"/>
      <c r="BF3" s="168"/>
      <c r="BG3" s="170"/>
      <c r="BH3" s="171"/>
      <c r="BI3" s="172"/>
      <c r="BJ3" s="173"/>
      <c r="BK3" s="173"/>
    </row>
    <row r="4" ht="32" customHeight="1">
      <c r="A4" s="174"/>
      <c r="B4" s="175"/>
      <c r="C4" s="176"/>
      <c r="D4" s="177"/>
      <c r="E4" s="178"/>
      <c r="F4" s="179"/>
      <c r="G4" s="180"/>
      <c r="H4" s="180"/>
      <c r="I4" s="180"/>
      <c r="J4" s="180"/>
      <c r="K4" s="180"/>
      <c r="L4" s="180"/>
      <c r="M4" s="180"/>
      <c r="N4" s="181"/>
      <c r="O4" t="s" s="182">
        <v>59</v>
      </c>
      <c r="P4" s="179"/>
      <c r="Q4" s="180"/>
      <c r="R4" s="180"/>
      <c r="S4" s="180"/>
      <c r="T4" s="181"/>
      <c r="U4" t="s" s="182">
        <v>60</v>
      </c>
      <c r="V4" t="s" s="183">
        <v>61</v>
      </c>
      <c r="W4" s="184"/>
      <c r="X4" s="185"/>
      <c r="Y4" s="128"/>
      <c r="Z4" s="129"/>
      <c r="AA4" s="129"/>
      <c r="AB4" s="129"/>
      <c r="AC4" s="129"/>
      <c r="AD4" s="129"/>
      <c r="AE4" s="129"/>
      <c r="AF4" s="129"/>
      <c r="AG4" s="129"/>
      <c r="AH4" s="129"/>
      <c r="AI4" s="130"/>
      <c r="AJ4" s="186"/>
      <c r="AK4" s="45"/>
      <c r="AL4" s="45"/>
      <c r="AM4" s="45"/>
      <c r="AN4" s="45"/>
      <c r="AO4" s="46"/>
      <c r="AP4" s="187"/>
      <c r="AQ4" s="188"/>
      <c r="AR4" s="189"/>
      <c r="AS4" s="190"/>
      <c r="AT4" s="190"/>
      <c r="AU4" s="190"/>
      <c r="AV4" s="190"/>
      <c r="AW4" s="190"/>
      <c r="AX4" s="190"/>
      <c r="AY4" s="190"/>
      <c r="AZ4" s="190"/>
      <c r="BA4" s="190"/>
      <c r="BB4" s="190"/>
      <c r="BC4" s="190"/>
      <c r="BD4" s="190"/>
      <c r="BE4" s="190"/>
      <c r="BF4" s="190"/>
      <c r="BG4" s="191"/>
      <c r="BH4" s="192"/>
      <c r="BI4" s="193"/>
      <c r="BJ4" s="194"/>
      <c r="BK4" s="194"/>
    </row>
    <row r="5" ht="41.55" customHeight="1">
      <c r="A5" t="s" s="195">
        <v>62</v>
      </c>
      <c r="B5" s="196"/>
      <c r="C5" s="107"/>
      <c r="D5" s="12"/>
      <c r="E5" s="107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4"/>
      <c r="Y5" s="128"/>
      <c r="Z5" s="129">
        <v>30</v>
      </c>
      <c r="AA5" s="129">
        <v>40</v>
      </c>
      <c r="AB5" s="129">
        <v>50</v>
      </c>
      <c r="AC5" s="129">
        <v>60</v>
      </c>
      <c r="AD5" s="129">
        <v>70</v>
      </c>
      <c r="AE5" s="129">
        <v>80</v>
      </c>
      <c r="AF5" s="129">
        <v>90</v>
      </c>
      <c r="AG5" s="129">
        <v>100</v>
      </c>
      <c r="AH5" s="129">
        <v>110</v>
      </c>
      <c r="AI5" s="130">
        <v>1120</v>
      </c>
      <c r="AJ5" s="113"/>
      <c r="AK5" s="110"/>
      <c r="AL5" s="110"/>
      <c r="AM5" s="110"/>
      <c r="AN5" s="110"/>
      <c r="AO5" s="111"/>
      <c r="AP5" s="197"/>
      <c r="AQ5" s="198"/>
      <c r="AR5" s="199">
        <v>40</v>
      </c>
      <c r="AS5" s="199">
        <v>50</v>
      </c>
      <c r="AT5" s="199">
        <v>60</v>
      </c>
      <c r="AU5" s="199">
        <v>70</v>
      </c>
      <c r="AV5" s="199">
        <v>80</v>
      </c>
      <c r="AW5" s="199">
        <v>90</v>
      </c>
      <c r="AX5" s="199">
        <v>100</v>
      </c>
      <c r="AY5" s="200">
        <v>120</v>
      </c>
      <c r="AZ5" s="201">
        <v>30</v>
      </c>
      <c r="BA5" s="199">
        <v>40</v>
      </c>
      <c r="BB5" s="199">
        <v>50</v>
      </c>
      <c r="BC5" s="199">
        <v>60</v>
      </c>
      <c r="BD5" s="199">
        <v>70</v>
      </c>
      <c r="BE5" s="199">
        <v>80</v>
      </c>
      <c r="BF5" s="199">
        <v>90</v>
      </c>
      <c r="BG5" s="200">
        <v>100</v>
      </c>
      <c r="BH5" s="202"/>
      <c r="BI5" t="s" s="203">
        <v>63</v>
      </c>
      <c r="BJ5" s="120"/>
      <c r="BK5" s="120"/>
    </row>
    <row r="6" ht="16.4" customHeight="1">
      <c r="A6" t="s" s="204">
        <v>64</v>
      </c>
      <c r="B6" t="s" s="205">
        <v>65</v>
      </c>
      <c r="C6" s="206">
        <v>5</v>
      </c>
      <c r="D6" s="207">
        <v>47.2</v>
      </c>
      <c r="E6" s="208"/>
      <c r="F6" s="209"/>
      <c r="G6" s="210"/>
      <c r="H6" s="211"/>
      <c r="I6" s="212"/>
      <c r="J6" s="213"/>
      <c r="K6" s="214"/>
      <c r="L6" s="215"/>
      <c r="M6" s="216"/>
      <c r="N6" s="217"/>
      <c r="O6" s="218">
        <f>N6+M6+L6+K6+J6+I6+H6+G6+F6+E6</f>
        <v>0</v>
      </c>
      <c r="P6" s="219"/>
      <c r="Q6" s="220"/>
      <c r="R6" s="221"/>
      <c r="S6" s="222"/>
      <c r="T6" s="223"/>
      <c r="U6" s="224">
        <f>P6+Q6+R6+S6+T6</f>
        <v>0</v>
      </c>
      <c r="V6" t="s" s="225">
        <v>66</v>
      </c>
      <c r="W6" s="226">
        <f>C6*BJ6</f>
        <v>0</v>
      </c>
      <c r="X6" s="227">
        <f>D6*O6+D6*U6*1.04</f>
        <v>0</v>
      </c>
      <c r="Y6" s="128"/>
      <c r="Z6" s="129"/>
      <c r="AA6" s="129"/>
      <c r="AB6" s="129">
        <f>U6*3</f>
        <v>0</v>
      </c>
      <c r="AC6" s="129">
        <f>U6*3</f>
        <v>0</v>
      </c>
      <c r="AD6" s="129"/>
      <c r="AE6" s="129">
        <f>U6*1</f>
        <v>0</v>
      </c>
      <c r="AF6" s="129">
        <f>U6*1</f>
        <v>0</v>
      </c>
      <c r="AG6" s="129"/>
      <c r="AH6" s="129"/>
      <c r="AI6" s="130"/>
      <c r="AJ6" s="228"/>
      <c r="AK6" s="229"/>
      <c r="AL6" s="229"/>
      <c r="AM6" s="229">
        <f>3*BJ6</f>
        <v>0</v>
      </c>
      <c r="AN6" s="229">
        <f>2*BJ6</f>
        <v>0</v>
      </c>
      <c r="AO6" s="230"/>
      <c r="AP6" s="228">
        <f>4.5*(U6+O6)</f>
        <v>0</v>
      </c>
      <c r="AQ6" s="231"/>
      <c r="AR6" s="232"/>
      <c r="AS6" s="232"/>
      <c r="AT6" s="232"/>
      <c r="AU6" s="232"/>
      <c r="AV6" s="232">
        <v>2</v>
      </c>
      <c r="AW6" s="232"/>
      <c r="AX6" s="232">
        <v>3</v>
      </c>
      <c r="AY6" s="233"/>
      <c r="AZ6" s="234"/>
      <c r="BA6" s="232"/>
      <c r="BB6" s="232"/>
      <c r="BC6" s="232">
        <v>5</v>
      </c>
      <c r="BD6" s="232"/>
      <c r="BE6" s="232"/>
      <c r="BF6" s="232"/>
      <c r="BG6" s="232"/>
      <c r="BH6" s="235"/>
      <c r="BI6" s="233">
        <v>5</v>
      </c>
      <c r="BJ6" s="236">
        <f>O6+U6</f>
        <v>0</v>
      </c>
      <c r="BK6" s="236">
        <f>BJ6*(AV6*'HARDWARE'!H5+AX6*'HARDWARE'!J5+BC6*'HARDWARE'!E7)</f>
        <v>0</v>
      </c>
    </row>
    <row r="7" ht="16.4" customHeight="1">
      <c r="A7" t="s" s="204">
        <v>67</v>
      </c>
      <c r="B7" t="s" s="205">
        <v>68</v>
      </c>
      <c r="C7" s="237">
        <v>10</v>
      </c>
      <c r="D7" s="238">
        <v>98</v>
      </c>
      <c r="E7" s="239"/>
      <c r="F7" s="240"/>
      <c r="G7" s="241"/>
      <c r="H7" s="242"/>
      <c r="I7" s="243"/>
      <c r="J7" s="244"/>
      <c r="K7" s="245"/>
      <c r="L7" s="246"/>
      <c r="M7" s="247"/>
      <c r="N7" s="248"/>
      <c r="O7" s="249">
        <f>E7+F7+G7+H7+I7+J7+K7+L7+M7+N7</f>
        <v>0</v>
      </c>
      <c r="P7" s="250"/>
      <c r="Q7" s="251"/>
      <c r="R7" s="252"/>
      <c r="S7" s="253"/>
      <c r="T7" s="254"/>
      <c r="U7" s="255">
        <f>P7+Q7+R7+S7+T7</f>
        <v>0</v>
      </c>
      <c r="V7" t="s" s="225">
        <v>66</v>
      </c>
      <c r="W7" s="256">
        <f>C7*BJ7</f>
        <v>0</v>
      </c>
      <c r="X7" s="257">
        <f>D7*O7+D7*U7*1.04</f>
        <v>0</v>
      </c>
      <c r="Y7" s="128"/>
      <c r="Z7" s="129"/>
      <c r="AA7" s="129">
        <f>U7*2</f>
        <v>0</v>
      </c>
      <c r="AB7" s="129">
        <f>U7*4</f>
        <v>0</v>
      </c>
      <c r="AC7" s="129">
        <f>U7*2</f>
        <v>0</v>
      </c>
      <c r="AD7" s="129"/>
      <c r="AE7" s="129"/>
      <c r="AF7" s="129"/>
      <c r="AG7" s="129"/>
      <c r="AH7" s="129"/>
      <c r="AI7" s="130"/>
      <c r="AJ7" s="258"/>
      <c r="AK7" s="259"/>
      <c r="AL7" s="259"/>
      <c r="AM7" s="259">
        <f>BJ7*9</f>
        <v>0</v>
      </c>
      <c r="AN7" s="259">
        <f>BK7*1</f>
        <v>0</v>
      </c>
      <c r="AO7" s="260"/>
      <c r="AP7" s="256">
        <f>1.5*(U7+O7)</f>
        <v>0</v>
      </c>
      <c r="AQ7" s="235"/>
      <c r="AR7" s="261"/>
      <c r="AS7" s="261"/>
      <c r="AT7" s="261"/>
      <c r="AU7" s="261"/>
      <c r="AV7" s="261">
        <v>7</v>
      </c>
      <c r="AW7" s="261"/>
      <c r="AX7" s="261">
        <v>3</v>
      </c>
      <c r="AY7" s="262"/>
      <c r="AZ7" s="263">
        <v>2</v>
      </c>
      <c r="BA7" s="261">
        <v>5</v>
      </c>
      <c r="BB7" s="261">
        <v>3</v>
      </c>
      <c r="BC7" s="261"/>
      <c r="BD7" s="261"/>
      <c r="BE7" s="261"/>
      <c r="BF7" s="261"/>
      <c r="BG7" s="261"/>
      <c r="BH7" s="235"/>
      <c r="BI7" s="262">
        <v>5</v>
      </c>
      <c r="BJ7" s="264">
        <f>O7+U7</f>
        <v>0</v>
      </c>
      <c r="BK7" s="264">
        <f>BJ7*(AV7*'HARDWARE'!H4+AX7*'HARDWARE'!J4+AZ7*'HARDWARE'!C7+BA7*'HARDWARE'!D7+BB7*'HARDWARE'!E7)</f>
        <v>0</v>
      </c>
    </row>
    <row r="8" ht="16.4" customHeight="1">
      <c r="A8" t="s" s="204">
        <v>69</v>
      </c>
      <c r="B8" t="s" s="205">
        <v>70</v>
      </c>
      <c r="C8" s="237">
        <v>20</v>
      </c>
      <c r="D8" s="238">
        <v>42.5</v>
      </c>
      <c r="E8" s="239"/>
      <c r="F8" s="240"/>
      <c r="G8" s="241"/>
      <c r="H8" s="242"/>
      <c r="I8" s="243"/>
      <c r="J8" s="244"/>
      <c r="K8" s="245"/>
      <c r="L8" s="246"/>
      <c r="M8" s="247"/>
      <c r="N8" s="248"/>
      <c r="O8" s="249">
        <f>E8+F8+G8+H8+I8+J8+K8+L8+M8+N8</f>
        <v>0</v>
      </c>
      <c r="P8" s="250"/>
      <c r="Q8" s="251"/>
      <c r="R8" s="252"/>
      <c r="S8" s="253"/>
      <c r="T8" s="254"/>
      <c r="U8" s="255">
        <f>P8+Q8+R8+S8+T8</f>
        <v>0</v>
      </c>
      <c r="V8" t="s" s="225">
        <v>66</v>
      </c>
      <c r="W8" s="256">
        <f>C8*BJ8</f>
        <v>0</v>
      </c>
      <c r="X8" s="257">
        <f>D8*O8+D8*U8*1.04</f>
        <v>0</v>
      </c>
      <c r="Y8" s="128"/>
      <c r="Z8" s="129"/>
      <c r="AA8" s="129"/>
      <c r="AB8" s="129"/>
      <c r="AC8" s="129">
        <f>U8*2</f>
        <v>0</v>
      </c>
      <c r="AD8" s="129">
        <f>U8*1</f>
        <v>0</v>
      </c>
      <c r="AE8" s="129">
        <f>U8*2</f>
        <v>0</v>
      </c>
      <c r="AF8" s="129">
        <f>U8*2</f>
        <v>0</v>
      </c>
      <c r="AG8" s="129">
        <f>U8*1</f>
        <v>0</v>
      </c>
      <c r="AH8" s="129"/>
      <c r="AI8" s="130"/>
      <c r="AJ8" s="258">
        <f>20*BJ8</f>
        <v>0</v>
      </c>
      <c r="AK8" s="259"/>
      <c r="AL8" s="259"/>
      <c r="AM8" s="259"/>
      <c r="AN8" s="259"/>
      <c r="AO8" s="265"/>
      <c r="AP8" s="258">
        <f>1.8*(U8+O8)</f>
        <v>0</v>
      </c>
      <c r="AQ8" s="266"/>
      <c r="AR8" s="267"/>
      <c r="AS8" s="267"/>
      <c r="AT8" s="267"/>
      <c r="AU8" s="267"/>
      <c r="AV8" s="267"/>
      <c r="AW8" s="267"/>
      <c r="AX8" s="267"/>
      <c r="AY8" s="268"/>
      <c r="AZ8" s="269">
        <v>1</v>
      </c>
      <c r="BA8" s="267">
        <v>31</v>
      </c>
      <c r="BB8" s="267">
        <v>14</v>
      </c>
      <c r="BC8" s="267"/>
      <c r="BD8" s="267"/>
      <c r="BE8" s="267"/>
      <c r="BF8" s="267"/>
      <c r="BG8" s="267"/>
      <c r="BH8" s="235"/>
      <c r="BI8" s="268">
        <v>4</v>
      </c>
      <c r="BJ8" s="270">
        <f>O8+U8</f>
        <v>0</v>
      </c>
      <c r="BK8" s="270">
        <f>BJ8*(AZ8*'HARDWARE'!B6+BA8*'HARDWARE'!C6+BB8*'HARDWARE'!D6)</f>
        <v>0</v>
      </c>
    </row>
    <row r="9" ht="16.4" customHeight="1">
      <c r="A9" t="s" s="204">
        <v>71</v>
      </c>
      <c r="B9" t="s" s="205">
        <v>72</v>
      </c>
      <c r="C9" s="237">
        <v>2</v>
      </c>
      <c r="D9" s="238">
        <v>12</v>
      </c>
      <c r="E9" s="239"/>
      <c r="F9" s="240"/>
      <c r="G9" s="241"/>
      <c r="H9" s="242"/>
      <c r="I9" s="243"/>
      <c r="J9" s="244"/>
      <c r="K9" s="245"/>
      <c r="L9" s="246"/>
      <c r="M9" s="247"/>
      <c r="N9" s="248"/>
      <c r="O9" s="249">
        <f>E9+F9+G9+H9+I9+J9+K9+L9+M9+N9</f>
        <v>0</v>
      </c>
      <c r="P9" s="250"/>
      <c r="Q9" s="251"/>
      <c r="R9" s="252"/>
      <c r="S9" s="253"/>
      <c r="T9" s="254"/>
      <c r="U9" s="255">
        <f>P9+Q9+R9+S9+T9</f>
        <v>0</v>
      </c>
      <c r="V9" t="s" s="225">
        <v>66</v>
      </c>
      <c r="W9" s="256">
        <f>C9*BJ9</f>
        <v>0</v>
      </c>
      <c r="X9" s="257">
        <f>D9*O9+D9*U9*1.04</f>
        <v>0</v>
      </c>
      <c r="Y9" s="128"/>
      <c r="Z9" s="129"/>
      <c r="AA9" s="129"/>
      <c r="AB9" s="129"/>
      <c r="AC9" s="129"/>
      <c r="AD9" s="129"/>
      <c r="AE9" s="129"/>
      <c r="AF9" s="129"/>
      <c r="AG9" s="129"/>
      <c r="AH9" s="129"/>
      <c r="AI9" s="130"/>
      <c r="AJ9" s="258"/>
      <c r="AK9" s="259"/>
      <c r="AL9" s="259">
        <f>2*BJ9</f>
        <v>0</v>
      </c>
      <c r="AM9" s="259"/>
      <c r="AN9" s="259"/>
      <c r="AO9" s="265"/>
      <c r="AP9" s="258">
        <f>1.2*(U9+O9)</f>
        <v>0</v>
      </c>
      <c r="AQ9" s="266"/>
      <c r="AR9" s="267"/>
      <c r="AS9" s="267">
        <v>2</v>
      </c>
      <c r="AT9" s="267"/>
      <c r="AU9" s="267"/>
      <c r="AV9" s="267"/>
      <c r="AW9" s="267"/>
      <c r="AX9" s="267"/>
      <c r="AY9" s="268"/>
      <c r="AZ9" s="269"/>
      <c r="BA9" s="267">
        <v>6</v>
      </c>
      <c r="BB9" s="267"/>
      <c r="BC9" s="267"/>
      <c r="BD9" s="267"/>
      <c r="BE9" s="267"/>
      <c r="BF9" s="267"/>
      <c r="BG9" s="267"/>
      <c r="BH9" s="235"/>
      <c r="BI9" s="268">
        <v>4</v>
      </c>
      <c r="BJ9" s="264">
        <f>O9+U9</f>
        <v>0</v>
      </c>
      <c r="BK9" s="270">
        <f>BJ9*(AS9*'HARDWARE'!E5+BA9*'HARDWARE'!D6)</f>
        <v>0</v>
      </c>
    </row>
    <row r="10" ht="16.4" customHeight="1">
      <c r="A10" t="s" s="204">
        <v>73</v>
      </c>
      <c r="B10" t="s" s="205">
        <v>68</v>
      </c>
      <c r="C10" s="237">
        <v>15</v>
      </c>
      <c r="D10" s="238">
        <v>72.90000000000001</v>
      </c>
      <c r="E10" s="239"/>
      <c r="F10" s="240"/>
      <c r="G10" s="241"/>
      <c r="H10" s="242"/>
      <c r="I10" s="243"/>
      <c r="J10" s="244"/>
      <c r="K10" s="245"/>
      <c r="L10" s="246"/>
      <c r="M10" s="247"/>
      <c r="N10" s="248"/>
      <c r="O10" s="249">
        <f>E10+F10+G10+H10+I10+J10+K10+L10+M10+N10</f>
        <v>0</v>
      </c>
      <c r="P10" s="250"/>
      <c r="Q10" s="251"/>
      <c r="R10" s="252"/>
      <c r="S10" s="253"/>
      <c r="T10" s="254"/>
      <c r="U10" s="255">
        <f>P10+Q10+R10+S10+T10</f>
        <v>0</v>
      </c>
      <c r="V10" t="s" s="225">
        <v>66</v>
      </c>
      <c r="W10" s="256">
        <f>C10*BJ10</f>
        <v>0</v>
      </c>
      <c r="X10" s="257">
        <f>D10*O10+D10*U10*1.04</f>
        <v>0</v>
      </c>
      <c r="Y10" s="128"/>
      <c r="Z10" s="129">
        <f>U10*13</f>
        <v>0</v>
      </c>
      <c r="AA10" s="129">
        <f>U10*2</f>
        <v>0</v>
      </c>
      <c r="AB10" s="129"/>
      <c r="AC10" s="129"/>
      <c r="AD10" s="129"/>
      <c r="AE10" s="129"/>
      <c r="AF10" s="129"/>
      <c r="AG10" s="129"/>
      <c r="AH10" s="129"/>
      <c r="AI10" s="130"/>
      <c r="AJ10" s="258"/>
      <c r="AK10" s="259"/>
      <c r="AL10" s="259">
        <f>15*BJ10</f>
        <v>0</v>
      </c>
      <c r="AM10" s="259"/>
      <c r="AN10" s="259"/>
      <c r="AO10" s="265"/>
      <c r="AP10" s="258">
        <f>5*(U10+O10)</f>
        <v>0</v>
      </c>
      <c r="AQ10" s="266"/>
      <c r="AR10" s="267"/>
      <c r="AS10" s="267"/>
      <c r="AT10" s="267"/>
      <c r="AU10" s="267"/>
      <c r="AV10" s="267"/>
      <c r="AW10" s="267"/>
      <c r="AX10" s="267"/>
      <c r="AY10" s="268"/>
      <c r="AZ10" s="269"/>
      <c r="BA10" s="267"/>
      <c r="BB10" s="267">
        <v>60</v>
      </c>
      <c r="BC10" s="267"/>
      <c r="BD10" s="267"/>
      <c r="BE10" s="267"/>
      <c r="BF10" s="267"/>
      <c r="BG10" s="267"/>
      <c r="BH10" s="235"/>
      <c r="BI10" s="268">
        <v>5</v>
      </c>
      <c r="BJ10" s="270">
        <f>O10+U10</f>
        <v>0</v>
      </c>
      <c r="BK10" s="270">
        <f>BJ10*(BB10*'HARDWARE'!E7)</f>
        <v>0</v>
      </c>
    </row>
    <row r="11" ht="16.4" customHeight="1">
      <c r="A11" t="s" s="204">
        <v>74</v>
      </c>
      <c r="B11" t="s" s="205">
        <v>70</v>
      </c>
      <c r="C11" t="s" s="271">
        <v>75</v>
      </c>
      <c r="D11" t="s" s="272">
        <v>76</v>
      </c>
      <c r="E11" s="239"/>
      <c r="F11" s="240"/>
      <c r="G11" s="241"/>
      <c r="H11" s="242"/>
      <c r="I11" s="243"/>
      <c r="J11" s="244"/>
      <c r="K11" s="245"/>
      <c r="L11" s="246"/>
      <c r="M11" s="247"/>
      <c r="N11" s="248"/>
      <c r="O11" s="249">
        <f>E11+F11+G11+H11+I11+J11+K11+L11+M11+N11</f>
        <v>0</v>
      </c>
      <c r="P11" s="250"/>
      <c r="Q11" s="251"/>
      <c r="R11" s="252"/>
      <c r="S11" s="253"/>
      <c r="T11" s="254"/>
      <c r="U11" s="255">
        <f>P11+Q11+R11+S11+T11</f>
        <v>0</v>
      </c>
      <c r="V11" t="s" s="225">
        <v>66</v>
      </c>
      <c r="W11" s="256">
        <f>C11*BJ11</f>
        <v>0</v>
      </c>
      <c r="X11" t="s" s="272">
        <v>76</v>
      </c>
      <c r="Y11" s="128"/>
      <c r="Z11" s="129"/>
      <c r="AA11" s="129"/>
      <c r="AB11" s="129"/>
      <c r="AC11" s="129"/>
      <c r="AD11" s="129"/>
      <c r="AE11" s="129"/>
      <c r="AF11" s="129"/>
      <c r="AG11" s="129"/>
      <c r="AH11" s="129"/>
      <c r="AI11" s="130"/>
      <c r="AJ11" s="258"/>
      <c r="AK11" s="259"/>
      <c r="AL11" s="259">
        <f>16*BJ11</f>
        <v>0</v>
      </c>
      <c r="AM11" s="259"/>
      <c r="AN11" s="259"/>
      <c r="AO11" s="265"/>
      <c r="AP11" s="273">
        <v>0</v>
      </c>
      <c r="AQ11" s="274"/>
      <c r="AR11" s="267"/>
      <c r="AS11" s="267"/>
      <c r="AT11" s="267"/>
      <c r="AU11" s="267"/>
      <c r="AV11" s="267"/>
      <c r="AW11" s="267"/>
      <c r="AX11" s="267"/>
      <c r="AY11" s="268"/>
      <c r="AZ11" s="269"/>
      <c r="BA11" s="267"/>
      <c r="BB11" s="267"/>
      <c r="BC11" s="267"/>
      <c r="BD11" s="267"/>
      <c r="BE11" s="267"/>
      <c r="BF11" s="267"/>
      <c r="BG11" s="267"/>
      <c r="BH11" s="235"/>
      <c r="BI11" s="268">
        <v>5</v>
      </c>
      <c r="BJ11" s="270">
        <f>O11+U11</f>
        <v>0</v>
      </c>
      <c r="BK11" t="s" s="275">
        <v>77</v>
      </c>
    </row>
    <row r="12" ht="16.4" customHeight="1">
      <c r="A12" t="s" s="204">
        <v>78</v>
      </c>
      <c r="B12" t="s" s="205">
        <v>68</v>
      </c>
      <c r="C12" t="s" s="271">
        <v>79</v>
      </c>
      <c r="D12" t="s" s="272">
        <v>76</v>
      </c>
      <c r="E12" s="239"/>
      <c r="F12" s="240"/>
      <c r="G12" s="241"/>
      <c r="H12" s="242"/>
      <c r="I12" s="243"/>
      <c r="J12" s="244"/>
      <c r="K12" s="245"/>
      <c r="L12" s="246"/>
      <c r="M12" s="247"/>
      <c r="N12" s="248"/>
      <c r="O12" s="249">
        <f>E12+F12+G12+H12+I12+J12+K12+L12+M12+N12</f>
        <v>0</v>
      </c>
      <c r="P12" s="250"/>
      <c r="Q12" s="251"/>
      <c r="R12" s="252"/>
      <c r="S12" s="253"/>
      <c r="T12" s="254"/>
      <c r="U12" s="255">
        <f>P12+Q12+R12+S12+T12</f>
        <v>0</v>
      </c>
      <c r="V12" t="s" s="225">
        <v>66</v>
      </c>
      <c r="W12" s="256">
        <f>C12*BJ12</f>
        <v>0</v>
      </c>
      <c r="X12" t="s" s="272">
        <v>76</v>
      </c>
      <c r="Y12" s="128"/>
      <c r="Z12" s="129"/>
      <c r="AA12" s="129"/>
      <c r="AB12" s="129"/>
      <c r="AC12" s="129"/>
      <c r="AD12" s="129"/>
      <c r="AE12" s="129"/>
      <c r="AF12" s="129"/>
      <c r="AG12" s="129"/>
      <c r="AH12" s="129"/>
      <c r="AI12" s="130"/>
      <c r="AJ12" s="258"/>
      <c r="AK12" s="259"/>
      <c r="AL12" s="259"/>
      <c r="AM12" s="259">
        <f>5*BJ12</f>
        <v>0</v>
      </c>
      <c r="AN12" s="259"/>
      <c r="AO12" s="265"/>
      <c r="AP12" s="273">
        <v>0</v>
      </c>
      <c r="AQ12" s="274"/>
      <c r="AR12" s="267"/>
      <c r="AS12" s="267"/>
      <c r="AT12" s="267"/>
      <c r="AU12" s="267"/>
      <c r="AV12" s="267"/>
      <c r="AW12" s="267"/>
      <c r="AX12" s="267"/>
      <c r="AY12" s="268"/>
      <c r="AZ12" s="269"/>
      <c r="BA12" s="267"/>
      <c r="BB12" s="267"/>
      <c r="BC12" s="267"/>
      <c r="BD12" s="267"/>
      <c r="BE12" s="267"/>
      <c r="BF12" s="267"/>
      <c r="BG12" s="267"/>
      <c r="BH12" s="235"/>
      <c r="BI12" s="268">
        <v>5</v>
      </c>
      <c r="BJ12" s="270">
        <f>O12+U12</f>
        <v>0</v>
      </c>
      <c r="BK12" t="s" s="275">
        <v>77</v>
      </c>
    </row>
    <row r="13" ht="16.4" customHeight="1">
      <c r="A13" t="s" s="204">
        <v>80</v>
      </c>
      <c r="B13" t="s" s="205">
        <v>81</v>
      </c>
      <c r="C13" s="237">
        <v>6</v>
      </c>
      <c r="D13" s="238">
        <v>41.9</v>
      </c>
      <c r="E13" s="239"/>
      <c r="F13" s="240"/>
      <c r="G13" s="241"/>
      <c r="H13" s="276"/>
      <c r="I13" s="243"/>
      <c r="J13" s="244"/>
      <c r="K13" s="245"/>
      <c r="L13" s="246"/>
      <c r="M13" s="247"/>
      <c r="N13" s="248"/>
      <c r="O13" s="249">
        <f>E13+F13+G13+H13+I13+J13+K13+L13+M13+N13</f>
        <v>0</v>
      </c>
      <c r="P13" s="250"/>
      <c r="Q13" s="251"/>
      <c r="R13" s="252"/>
      <c r="S13" s="253"/>
      <c r="T13" s="254"/>
      <c r="U13" s="255">
        <f>P13+Q13+R13+S13+T13</f>
        <v>0</v>
      </c>
      <c r="V13" t="s" s="225">
        <v>66</v>
      </c>
      <c r="W13" s="256">
        <f>C13*BJ13</f>
        <v>0</v>
      </c>
      <c r="X13" s="257">
        <f>D13*O13+D13*U13*1.04</f>
        <v>0</v>
      </c>
      <c r="Y13" s="128"/>
      <c r="Z13" s="129"/>
      <c r="AA13" s="129"/>
      <c r="AB13" s="129">
        <f>U13*6</f>
        <v>0</v>
      </c>
      <c r="AC13" s="129"/>
      <c r="AD13" s="129">
        <f>U13*1</f>
        <v>0</v>
      </c>
      <c r="AE13" s="129">
        <f>U13*1</f>
        <v>0</v>
      </c>
      <c r="AF13" s="129"/>
      <c r="AG13" s="129"/>
      <c r="AH13" s="129"/>
      <c r="AI13" s="130"/>
      <c r="AJ13" s="258"/>
      <c r="AK13" s="259"/>
      <c r="AL13" s="259">
        <f>4*BJ13</f>
        <v>0</v>
      </c>
      <c r="AM13" s="259">
        <f>1*BJ13</f>
        <v>0</v>
      </c>
      <c r="AN13" s="259"/>
      <c r="AO13" s="260">
        <f>1*BJ13</f>
        <v>0</v>
      </c>
      <c r="AP13" s="256">
        <f>3.5*(U13+O13)</f>
        <v>0</v>
      </c>
      <c r="AQ13" s="235"/>
      <c r="AR13" s="261"/>
      <c r="AS13" s="261">
        <v>1</v>
      </c>
      <c r="AT13" s="261">
        <v>3</v>
      </c>
      <c r="AU13" s="261">
        <v>1</v>
      </c>
      <c r="AV13" s="261">
        <v>1</v>
      </c>
      <c r="AW13" s="261"/>
      <c r="AX13" s="261"/>
      <c r="AY13" s="262"/>
      <c r="AZ13" s="263">
        <v>1</v>
      </c>
      <c r="BA13" s="261">
        <v>4</v>
      </c>
      <c r="BB13" s="261">
        <v>1</v>
      </c>
      <c r="BC13" s="261"/>
      <c r="BD13" s="261"/>
      <c r="BE13" s="261"/>
      <c r="BF13" s="261"/>
      <c r="BG13" s="261"/>
      <c r="BH13" s="235"/>
      <c r="BI13" s="262">
        <v>5</v>
      </c>
      <c r="BJ13" s="264">
        <f>O13+U13</f>
        <v>0</v>
      </c>
      <c r="BK13" s="270">
        <f>BJ13*(AS13*'HARDWARE'!E4+AT13*'HARDWARE'!F4+AU13*'HARDWARE'!G5+AV13*'HARDWARE'!H4+AZ13*'HARDWARE'!C7+BA13*'HARDWARE'!D7+BB13*'HARDWARE'!E7)</f>
        <v>0</v>
      </c>
    </row>
    <row r="14" ht="16.4" customHeight="1">
      <c r="A14" t="s" s="204">
        <v>82</v>
      </c>
      <c r="B14" t="s" s="205">
        <v>70</v>
      </c>
      <c r="C14" s="237">
        <v>30</v>
      </c>
      <c r="D14" s="238">
        <v>56.9</v>
      </c>
      <c r="E14" s="239"/>
      <c r="F14" s="240"/>
      <c r="G14" s="241"/>
      <c r="H14" s="242"/>
      <c r="I14" s="243"/>
      <c r="J14" s="244"/>
      <c r="K14" s="245"/>
      <c r="L14" s="246"/>
      <c r="M14" s="247"/>
      <c r="N14" s="248"/>
      <c r="O14" s="249">
        <f>E14+F14+G14+H14+I14+J14+K14+L14+M14+N14</f>
        <v>0</v>
      </c>
      <c r="P14" s="250"/>
      <c r="Q14" s="251"/>
      <c r="R14" s="252"/>
      <c r="S14" s="253"/>
      <c r="T14" s="254"/>
      <c r="U14" s="255">
        <f>P14+Q14+R14+S14+T14</f>
        <v>0</v>
      </c>
      <c r="V14" t="s" s="225">
        <v>66</v>
      </c>
      <c r="W14" s="256">
        <f>C14*BJ14</f>
        <v>0</v>
      </c>
      <c r="X14" s="257">
        <f>D14*O14+D14*U14*1.04</f>
        <v>0</v>
      </c>
      <c r="Y14" s="128"/>
      <c r="Z14" s="129">
        <f>U14*4</f>
        <v>0</v>
      </c>
      <c r="AA14" s="129">
        <f>U14*6</f>
        <v>0</v>
      </c>
      <c r="AB14" s="129">
        <f>U14*4</f>
        <v>0</v>
      </c>
      <c r="AC14" s="129">
        <f>U14*9</f>
        <v>0</v>
      </c>
      <c r="AD14" s="129">
        <f>U14*6</f>
        <v>0</v>
      </c>
      <c r="AE14" s="129">
        <f>U14*1</f>
        <v>0</v>
      </c>
      <c r="AF14" s="129"/>
      <c r="AG14" s="129"/>
      <c r="AH14" s="129"/>
      <c r="AI14" s="130"/>
      <c r="AJ14" s="258">
        <f>30*BJ14</f>
        <v>0</v>
      </c>
      <c r="AK14" s="259"/>
      <c r="AL14" s="259"/>
      <c r="AM14" s="259"/>
      <c r="AN14" s="259"/>
      <c r="AO14" s="265"/>
      <c r="AP14" s="258">
        <f>1.7*(U14+O14)</f>
        <v>0</v>
      </c>
      <c r="AQ14" s="266"/>
      <c r="AR14" s="267">
        <v>30</v>
      </c>
      <c r="AS14" s="267"/>
      <c r="AT14" s="267"/>
      <c r="AU14" s="267"/>
      <c r="AV14" s="267"/>
      <c r="AW14" s="267"/>
      <c r="AX14" s="267"/>
      <c r="AY14" s="268"/>
      <c r="AZ14" s="269"/>
      <c r="BA14" s="267"/>
      <c r="BB14" s="267"/>
      <c r="BC14" s="267"/>
      <c r="BD14" s="267"/>
      <c r="BE14" s="267"/>
      <c r="BF14" s="267"/>
      <c r="BG14" s="267"/>
      <c r="BH14" s="235"/>
      <c r="BI14" t="s" s="277">
        <v>83</v>
      </c>
      <c r="BJ14" s="270">
        <f>O14+U14</f>
        <v>0</v>
      </c>
      <c r="BK14" s="270">
        <f>BJ14*(AR14*'HARDWARE'!D4)</f>
        <v>0</v>
      </c>
    </row>
    <row r="15" ht="16.4" customHeight="1">
      <c r="A15" t="s" s="204">
        <v>84</v>
      </c>
      <c r="B15" t="s" s="205">
        <v>72</v>
      </c>
      <c r="C15" s="278">
        <v>2</v>
      </c>
      <c r="D15" s="238">
        <v>9.4</v>
      </c>
      <c r="E15" s="239"/>
      <c r="F15" s="240"/>
      <c r="G15" s="241"/>
      <c r="H15" s="242"/>
      <c r="I15" s="243"/>
      <c r="J15" s="244"/>
      <c r="K15" s="245"/>
      <c r="L15" s="246"/>
      <c r="M15" s="247"/>
      <c r="N15" s="248"/>
      <c r="O15" s="249">
        <f>E15+F15+G15+H15+I15+J15+K15+L15+M15+N15</f>
        <v>0</v>
      </c>
      <c r="P15" s="250"/>
      <c r="Q15" s="251"/>
      <c r="R15" s="252"/>
      <c r="S15" s="253"/>
      <c r="T15" s="254"/>
      <c r="U15" s="255">
        <f>P15+Q15+R15+S15+T15</f>
        <v>0</v>
      </c>
      <c r="V15" t="s" s="225">
        <v>66</v>
      </c>
      <c r="W15" s="256">
        <f>C15*BJ15</f>
        <v>0</v>
      </c>
      <c r="X15" s="257">
        <f>D15*O15+D15*U15*1.04</f>
        <v>0</v>
      </c>
      <c r="Y15" s="128"/>
      <c r="Z15" s="129"/>
      <c r="AA15" s="129"/>
      <c r="AB15" s="129"/>
      <c r="AC15" s="129"/>
      <c r="AD15" s="129">
        <f>U15*1</f>
        <v>0</v>
      </c>
      <c r="AE15" s="129">
        <f>U15*1</f>
        <v>0</v>
      </c>
      <c r="AF15" s="129">
        <f>U15*3</f>
        <v>0</v>
      </c>
      <c r="AG15" s="129"/>
      <c r="AH15" s="129"/>
      <c r="AI15" s="130"/>
      <c r="AJ15" s="258"/>
      <c r="AK15" s="259"/>
      <c r="AL15" s="259">
        <f>2*BJ15</f>
        <v>0</v>
      </c>
      <c r="AM15" s="259"/>
      <c r="AN15" s="259"/>
      <c r="AO15" s="265"/>
      <c r="AP15" s="258">
        <f>0.44*(U15+O15)</f>
        <v>0</v>
      </c>
      <c r="AQ15" s="266"/>
      <c r="AR15" s="267"/>
      <c r="AS15" s="267"/>
      <c r="AT15" s="267"/>
      <c r="AU15" s="267">
        <v>2</v>
      </c>
      <c r="AV15" s="267"/>
      <c r="AW15" s="267"/>
      <c r="AX15" s="267"/>
      <c r="AY15" s="268"/>
      <c r="AZ15" s="269"/>
      <c r="BA15" s="267"/>
      <c r="BB15" s="267"/>
      <c r="BC15" s="267"/>
      <c r="BD15" s="267"/>
      <c r="BE15" s="267"/>
      <c r="BF15" s="267"/>
      <c r="BG15" s="267"/>
      <c r="BH15" s="235"/>
      <c r="BI15" t="s" s="277">
        <v>83</v>
      </c>
      <c r="BJ15" s="264">
        <f>O15+U15</f>
        <v>0</v>
      </c>
      <c r="BK15" s="270">
        <f>BJ15*(AU15*'HARDWARE'!G5)</f>
        <v>0</v>
      </c>
    </row>
    <row r="16" ht="16.4" customHeight="1">
      <c r="A16" t="s" s="204">
        <v>85</v>
      </c>
      <c r="B16" t="s" s="205">
        <v>72</v>
      </c>
      <c r="C16" s="278">
        <v>2</v>
      </c>
      <c r="D16" s="238">
        <v>12.4</v>
      </c>
      <c r="E16" s="239"/>
      <c r="F16" s="240"/>
      <c r="G16" s="241"/>
      <c r="H16" s="242"/>
      <c r="I16" s="243"/>
      <c r="J16" s="244"/>
      <c r="K16" s="245"/>
      <c r="L16" s="246"/>
      <c r="M16" s="247"/>
      <c r="N16" s="248"/>
      <c r="O16" s="249">
        <f>E16+F16+G16+H16+I16+J16+K16+L16+M16+N16</f>
        <v>0</v>
      </c>
      <c r="P16" s="250"/>
      <c r="Q16" s="251"/>
      <c r="R16" s="252"/>
      <c r="S16" s="253"/>
      <c r="T16" s="254"/>
      <c r="U16" s="255">
        <f>P16+Q16+R16+S16+T16</f>
        <v>0</v>
      </c>
      <c r="V16" t="s" s="225">
        <v>66</v>
      </c>
      <c r="W16" s="256">
        <f>C16*BJ16</f>
        <v>0</v>
      </c>
      <c r="X16" s="257">
        <f>D16*O16+D16*U16*1.04</f>
        <v>0</v>
      </c>
      <c r="Y16" s="128"/>
      <c r="Z16" s="129"/>
      <c r="AA16" s="129"/>
      <c r="AB16" s="129"/>
      <c r="AC16" s="129"/>
      <c r="AD16" s="129">
        <f>U16*1</f>
        <v>0</v>
      </c>
      <c r="AE16" s="129">
        <f>U16*2</f>
        <v>0</v>
      </c>
      <c r="AF16" s="129">
        <f>U16*2</f>
        <v>0</v>
      </c>
      <c r="AG16" s="129"/>
      <c r="AH16" s="129"/>
      <c r="AI16" s="130"/>
      <c r="AJ16" s="258"/>
      <c r="AK16" s="259"/>
      <c r="AL16" s="259"/>
      <c r="AM16" s="259">
        <f>2*BJ16</f>
        <v>0</v>
      </c>
      <c r="AN16" s="259"/>
      <c r="AO16" s="265"/>
      <c r="AP16" s="258">
        <f>0.84*(U16+O16)</f>
        <v>0</v>
      </c>
      <c r="AQ16" s="266"/>
      <c r="AR16" s="267"/>
      <c r="AS16" s="267"/>
      <c r="AT16" s="267"/>
      <c r="AU16" s="267">
        <v>2</v>
      </c>
      <c r="AV16" s="267"/>
      <c r="AW16" s="267"/>
      <c r="AX16" s="267"/>
      <c r="AY16" s="268"/>
      <c r="AZ16" s="269"/>
      <c r="BA16" s="267"/>
      <c r="BB16" s="267"/>
      <c r="BC16" s="267"/>
      <c r="BD16" s="267"/>
      <c r="BE16" s="267"/>
      <c r="BF16" s="267"/>
      <c r="BG16" s="267"/>
      <c r="BH16" s="235"/>
      <c r="BI16" t="s" s="277">
        <v>83</v>
      </c>
      <c r="BJ16" s="270">
        <f>O16+U16</f>
        <v>0</v>
      </c>
      <c r="BK16" s="270">
        <f>BJ16*(AU16*'HARDWARE'!G5)</f>
        <v>0</v>
      </c>
    </row>
    <row r="17" ht="16.4" customHeight="1">
      <c r="A17" t="s" s="204">
        <v>86</v>
      </c>
      <c r="B17" t="s" s="205">
        <v>72</v>
      </c>
      <c r="C17" s="278">
        <v>2</v>
      </c>
      <c r="D17" s="238">
        <v>17.4</v>
      </c>
      <c r="E17" s="239"/>
      <c r="F17" s="240"/>
      <c r="G17" s="241"/>
      <c r="H17" s="242"/>
      <c r="I17" s="243"/>
      <c r="J17" s="244"/>
      <c r="K17" s="245"/>
      <c r="L17" s="246"/>
      <c r="M17" s="247"/>
      <c r="N17" s="248"/>
      <c r="O17" s="249">
        <f>E17+F17+G17+H17+I17+J17+K17+L17+M17+N17</f>
        <v>0</v>
      </c>
      <c r="P17" s="250"/>
      <c r="Q17" s="251"/>
      <c r="R17" s="252"/>
      <c r="S17" s="253"/>
      <c r="T17" s="254"/>
      <c r="U17" s="255">
        <f>P17+Q17+R17+S17+T17</f>
        <v>0</v>
      </c>
      <c r="V17" t="s" s="225">
        <v>66</v>
      </c>
      <c r="W17" s="256">
        <f>C17*BK17</f>
        <v>0</v>
      </c>
      <c r="X17" s="257">
        <f>D17*O17+D17*U17*1.04</f>
        <v>0</v>
      </c>
      <c r="Y17" s="128"/>
      <c r="Z17" s="129">
        <f>U17*8</f>
        <v>0</v>
      </c>
      <c r="AA17" s="129">
        <f>U17*7</f>
        <v>0</v>
      </c>
      <c r="AB17" s="129">
        <f>U17*3</f>
        <v>0</v>
      </c>
      <c r="AC17" s="129">
        <f>U17*2</f>
        <v>0</v>
      </c>
      <c r="AD17" s="129"/>
      <c r="AE17" s="129"/>
      <c r="AF17" s="129"/>
      <c r="AG17" s="129"/>
      <c r="AH17" s="129"/>
      <c r="AI17" s="130"/>
      <c r="AJ17" s="258"/>
      <c r="AK17" s="259"/>
      <c r="AL17" s="259"/>
      <c r="AM17" s="259"/>
      <c r="AN17" s="259">
        <f>2*BJ17</f>
        <v>0</v>
      </c>
      <c r="AO17" s="265"/>
      <c r="AP17" s="258">
        <f>1.46*(U17+O17)</f>
        <v>0</v>
      </c>
      <c r="AQ17" s="266"/>
      <c r="AR17" s="267"/>
      <c r="AS17" s="267"/>
      <c r="AT17" s="267"/>
      <c r="AU17" s="267"/>
      <c r="AV17" s="267">
        <v>2</v>
      </c>
      <c r="AW17" s="267"/>
      <c r="AX17" s="267"/>
      <c r="AY17" s="268"/>
      <c r="AZ17" s="269"/>
      <c r="BA17" s="267"/>
      <c r="BB17" s="267"/>
      <c r="BC17" s="267"/>
      <c r="BD17" s="267"/>
      <c r="BE17" s="267"/>
      <c r="BF17" s="267"/>
      <c r="BG17" s="267"/>
      <c r="BH17" s="235"/>
      <c r="BI17" t="s" s="277">
        <v>83</v>
      </c>
      <c r="BJ17" s="264">
        <f>O17+U17</f>
        <v>0</v>
      </c>
      <c r="BK17" s="270">
        <f>BJ17*(AV17*'HARDWARE'!H4)</f>
        <v>0</v>
      </c>
    </row>
    <row r="18" ht="16.4" customHeight="1">
      <c r="A18" t="s" s="204">
        <v>87</v>
      </c>
      <c r="B18" t="s" s="205">
        <v>72</v>
      </c>
      <c r="C18" s="278">
        <v>2</v>
      </c>
      <c r="D18" s="238">
        <v>31.4</v>
      </c>
      <c r="E18" s="239"/>
      <c r="F18" s="240"/>
      <c r="G18" s="241"/>
      <c r="H18" s="242"/>
      <c r="I18" s="243"/>
      <c r="J18" s="244"/>
      <c r="K18" s="245"/>
      <c r="L18" s="246"/>
      <c r="M18" s="247"/>
      <c r="N18" s="248"/>
      <c r="O18" s="249">
        <f>E18+F18+G18+H18+I18+J18+K18+L18+M18+N18</f>
        <v>0</v>
      </c>
      <c r="P18" s="250"/>
      <c r="Q18" s="251"/>
      <c r="R18" s="252"/>
      <c r="S18" s="253"/>
      <c r="T18" s="254"/>
      <c r="U18" s="255">
        <f>P18+Q18+R18+S18+T18</f>
        <v>0</v>
      </c>
      <c r="V18" t="s" s="225">
        <v>66</v>
      </c>
      <c r="W18" s="256">
        <f>C18*BJ18</f>
        <v>0</v>
      </c>
      <c r="X18" s="257">
        <f>D18*O18+D18*U18*1.04</f>
        <v>0</v>
      </c>
      <c r="Y18" s="128"/>
      <c r="Z18" s="129">
        <f>U18*4</f>
        <v>0</v>
      </c>
      <c r="AA18" s="129">
        <f>U18*11</f>
        <v>0</v>
      </c>
      <c r="AB18" s="129">
        <f>U18*4</f>
        <v>0</v>
      </c>
      <c r="AC18" s="129">
        <f>U18*1</f>
        <v>0</v>
      </c>
      <c r="AD18" s="129"/>
      <c r="AE18" s="129"/>
      <c r="AF18" s="129"/>
      <c r="AG18" s="129"/>
      <c r="AH18" s="129"/>
      <c r="AI18" s="130"/>
      <c r="AJ18" s="258"/>
      <c r="AK18" s="259"/>
      <c r="AL18" s="259"/>
      <c r="AM18" s="259"/>
      <c r="AN18" s="259"/>
      <c r="AO18" s="260">
        <f>2*BJ18</f>
        <v>0</v>
      </c>
      <c r="AP18" s="256">
        <f>2.64*(U18+O18)</f>
        <v>0</v>
      </c>
      <c r="AQ18" s="235"/>
      <c r="AR18" s="261"/>
      <c r="AS18" s="261"/>
      <c r="AT18" s="261"/>
      <c r="AU18" s="261"/>
      <c r="AV18" s="261"/>
      <c r="AW18" s="261"/>
      <c r="AX18" s="261">
        <v>2</v>
      </c>
      <c r="AY18" s="262"/>
      <c r="AZ18" s="263"/>
      <c r="BA18" s="261"/>
      <c r="BB18" s="261"/>
      <c r="BC18" s="261"/>
      <c r="BD18" s="261"/>
      <c r="BE18" s="261"/>
      <c r="BF18" s="261"/>
      <c r="BG18" s="261"/>
      <c r="BH18" s="235"/>
      <c r="BI18" t="s" s="279">
        <v>83</v>
      </c>
      <c r="BJ18" s="270">
        <f>O18+U18</f>
        <v>0</v>
      </c>
      <c r="BK18" s="270">
        <f>BJ18*(AX18*'HARDWARE'!J4)</f>
        <v>0</v>
      </c>
    </row>
    <row r="19" ht="16.4" customHeight="1">
      <c r="A19" t="s" s="204">
        <v>88</v>
      </c>
      <c r="B19" t="s" s="205">
        <v>68</v>
      </c>
      <c r="C19" s="237">
        <v>5</v>
      </c>
      <c r="D19" s="238">
        <v>31.2</v>
      </c>
      <c r="E19" s="239"/>
      <c r="F19" s="240"/>
      <c r="G19" s="241"/>
      <c r="H19" s="242"/>
      <c r="I19" s="243"/>
      <c r="J19" s="244"/>
      <c r="K19" s="245"/>
      <c r="L19" s="246"/>
      <c r="M19" s="247"/>
      <c r="N19" s="248"/>
      <c r="O19" s="249">
        <f>E19+F19+G19+H19+I19+J19+K19+L19+M19+N19</f>
        <v>0</v>
      </c>
      <c r="P19" s="250"/>
      <c r="Q19" s="251"/>
      <c r="R19" s="252"/>
      <c r="S19" s="253"/>
      <c r="T19" s="254"/>
      <c r="U19" s="255">
        <f>P19+Q19+R19+S19+T19</f>
        <v>0</v>
      </c>
      <c r="V19" t="s" s="225">
        <v>66</v>
      </c>
      <c r="W19" s="256">
        <f>C19*BJ19</f>
        <v>0</v>
      </c>
      <c r="X19" s="257">
        <f>D19*O19+D19*U19*1.04</f>
        <v>0</v>
      </c>
      <c r="Y19" s="128"/>
      <c r="Z19" s="129"/>
      <c r="AA19" s="129"/>
      <c r="AB19" s="129">
        <f>U19*3</f>
        <v>0</v>
      </c>
      <c r="AC19" s="129">
        <f>U19*2</f>
        <v>0</v>
      </c>
      <c r="AD19" s="129">
        <f>U19*2</f>
        <v>0</v>
      </c>
      <c r="AE19" s="129"/>
      <c r="AF19" s="129">
        <f>U19*1</f>
        <v>0</v>
      </c>
      <c r="AG19" s="129"/>
      <c r="AH19" s="129"/>
      <c r="AI19" s="130"/>
      <c r="AJ19" s="258"/>
      <c r="AK19" s="259"/>
      <c r="AL19" s="259"/>
      <c r="AM19" s="259">
        <f>5*BJ19</f>
        <v>0</v>
      </c>
      <c r="AN19" s="259"/>
      <c r="AO19" s="265"/>
      <c r="AP19" s="256">
        <f>2.5*(U19+O19)</f>
        <v>0</v>
      </c>
      <c r="AQ19" s="235"/>
      <c r="AR19" s="261"/>
      <c r="AS19" s="261">
        <v>5</v>
      </c>
      <c r="AT19" s="261"/>
      <c r="AU19" s="261"/>
      <c r="AV19" s="261"/>
      <c r="AW19" s="261"/>
      <c r="AX19" s="261"/>
      <c r="AY19" s="262"/>
      <c r="AZ19" s="263"/>
      <c r="BA19" s="261"/>
      <c r="BB19" s="261"/>
      <c r="BC19" s="261">
        <v>4</v>
      </c>
      <c r="BD19" s="261"/>
      <c r="BE19" s="261"/>
      <c r="BF19" s="261">
        <v>1</v>
      </c>
      <c r="BG19" s="261"/>
      <c r="BH19" s="235"/>
      <c r="BI19" s="262">
        <v>5</v>
      </c>
      <c r="BJ19" s="264">
        <f>O19+U19</f>
        <v>0</v>
      </c>
      <c r="BK19" s="270">
        <f>BJ19*(AS19*'HARDWARE'!E4+BC19*'HARDWARE'!E6+BF19*'HARDWARE'!I7)</f>
        <v>0</v>
      </c>
    </row>
    <row r="20" ht="16.4" customHeight="1">
      <c r="A20" t="s" s="204">
        <v>89</v>
      </c>
      <c r="B20" t="s" s="205">
        <v>68</v>
      </c>
      <c r="C20" s="237">
        <v>15</v>
      </c>
      <c r="D20" s="238">
        <v>73</v>
      </c>
      <c r="E20" s="239"/>
      <c r="F20" s="240"/>
      <c r="G20" s="241"/>
      <c r="H20" s="242"/>
      <c r="I20" s="243"/>
      <c r="J20" s="244"/>
      <c r="K20" s="245"/>
      <c r="L20" s="246"/>
      <c r="M20" s="247"/>
      <c r="N20" s="248"/>
      <c r="O20" s="249">
        <f>E20+F20+G20+H20+I20+J20+K20+L20+M20+N20</f>
        <v>0</v>
      </c>
      <c r="P20" s="250"/>
      <c r="Q20" s="251"/>
      <c r="R20" s="252"/>
      <c r="S20" s="253"/>
      <c r="T20" s="254"/>
      <c r="U20" s="255">
        <f>P20+Q20+R20+S20+T20</f>
        <v>0</v>
      </c>
      <c r="V20" t="s" s="225">
        <v>66</v>
      </c>
      <c r="W20" s="256">
        <f>C20*BJ20</f>
        <v>0</v>
      </c>
      <c r="X20" s="257">
        <f>D20*O20+D20*U20*1.04</f>
        <v>0</v>
      </c>
      <c r="Y20" s="128"/>
      <c r="Z20" s="129">
        <f>U20*4</f>
        <v>0</v>
      </c>
      <c r="AA20" s="129">
        <f>U20*11</f>
        <v>0</v>
      </c>
      <c r="AB20" s="129"/>
      <c r="AC20" s="129"/>
      <c r="AD20" s="129"/>
      <c r="AE20" s="129"/>
      <c r="AF20" s="129"/>
      <c r="AG20" s="129"/>
      <c r="AH20" s="129"/>
      <c r="AI20" s="130"/>
      <c r="AJ20" s="258"/>
      <c r="AK20" s="259"/>
      <c r="AL20" s="259">
        <f>15*BJ20</f>
        <v>0</v>
      </c>
      <c r="AM20" s="259"/>
      <c r="AN20" s="259"/>
      <c r="AO20" s="265"/>
      <c r="AP20" s="258">
        <f>5.1*(U20+O20)</f>
        <v>0</v>
      </c>
      <c r="AQ20" s="266"/>
      <c r="AR20" s="267"/>
      <c r="AS20" s="267">
        <v>12</v>
      </c>
      <c r="AT20" s="267">
        <v>3</v>
      </c>
      <c r="AU20" s="267"/>
      <c r="AV20" s="267"/>
      <c r="AW20" s="267"/>
      <c r="AX20" s="267"/>
      <c r="AY20" s="268"/>
      <c r="AZ20" s="269"/>
      <c r="BA20" s="267"/>
      <c r="BB20" s="267"/>
      <c r="BC20" s="267">
        <v>15</v>
      </c>
      <c r="BD20" s="267"/>
      <c r="BE20" s="267"/>
      <c r="BF20" s="267"/>
      <c r="BG20" s="267"/>
      <c r="BH20" s="235"/>
      <c r="BI20" s="268">
        <v>5</v>
      </c>
      <c r="BJ20" s="270">
        <f>O20+U20</f>
        <v>0</v>
      </c>
      <c r="BK20" s="270">
        <f>BJ20*(AS20*'HARDWARE'!E4+AT20*'HARDWARE'!F4+BC20*'HARDWARE'!F7)</f>
        <v>0</v>
      </c>
    </row>
    <row r="21" ht="16.4" customHeight="1">
      <c r="A21" t="s" s="204">
        <v>90</v>
      </c>
      <c r="B21" t="s" s="205">
        <v>68</v>
      </c>
      <c r="C21" s="237">
        <v>18</v>
      </c>
      <c r="D21" s="238">
        <v>97.7</v>
      </c>
      <c r="E21" s="239"/>
      <c r="F21" s="240"/>
      <c r="G21" s="241"/>
      <c r="H21" s="242"/>
      <c r="I21" s="243"/>
      <c r="J21" s="244"/>
      <c r="K21" s="245"/>
      <c r="L21" s="246"/>
      <c r="M21" s="247"/>
      <c r="N21" s="248"/>
      <c r="O21" s="249">
        <f>E21+F21+G21+H21+I21+J21+K21+L21+M21+N21</f>
        <v>0</v>
      </c>
      <c r="P21" s="250"/>
      <c r="Q21" s="251"/>
      <c r="R21" s="252"/>
      <c r="S21" s="253"/>
      <c r="T21" s="254"/>
      <c r="U21" s="255">
        <f>P21+Q21+R21+S21+T21</f>
        <v>0</v>
      </c>
      <c r="V21" t="s" s="225">
        <v>66</v>
      </c>
      <c r="W21" s="256">
        <f>C21*BJ21</f>
        <v>0</v>
      </c>
      <c r="X21" s="257">
        <f>D21*O21+D21*U21*1.04</f>
        <v>0</v>
      </c>
      <c r="Y21" s="128"/>
      <c r="Z21" s="129">
        <f>U21*20</f>
        <v>0</v>
      </c>
      <c r="AA21" s="129">
        <f>U21*18</f>
        <v>0</v>
      </c>
      <c r="AB21" s="129">
        <f>U21*2</f>
        <v>0</v>
      </c>
      <c r="AC21" s="129"/>
      <c r="AD21" s="129"/>
      <c r="AE21" s="129"/>
      <c r="AF21" s="129"/>
      <c r="AG21" s="129"/>
      <c r="AH21" s="129"/>
      <c r="AI21" s="130"/>
      <c r="AJ21" s="258"/>
      <c r="AK21" s="259"/>
      <c r="AL21" s="259">
        <f>13*BJ21</f>
        <v>0</v>
      </c>
      <c r="AM21" s="259">
        <f>5*BJ21</f>
        <v>0</v>
      </c>
      <c r="AN21" s="259"/>
      <c r="AO21" s="265"/>
      <c r="AP21" s="258">
        <f>7.8*(U21+O21)</f>
        <v>0</v>
      </c>
      <c r="AQ21" s="266"/>
      <c r="AR21" s="267"/>
      <c r="AS21" s="267">
        <v>3</v>
      </c>
      <c r="AT21" s="267">
        <v>11</v>
      </c>
      <c r="AU21" s="267">
        <v>2</v>
      </c>
      <c r="AV21" s="267"/>
      <c r="AW21" s="267"/>
      <c r="AX21" s="267">
        <v>1</v>
      </c>
      <c r="AY21" s="268"/>
      <c r="AZ21" s="269"/>
      <c r="BA21" s="267"/>
      <c r="BB21" s="267">
        <v>2</v>
      </c>
      <c r="BC21" s="267">
        <v>3</v>
      </c>
      <c r="BD21" s="267"/>
      <c r="BE21" s="267"/>
      <c r="BF21" s="267"/>
      <c r="BG21" s="267"/>
      <c r="BH21" s="235"/>
      <c r="BI21" s="268">
        <v>6</v>
      </c>
      <c r="BJ21" s="264">
        <f>O21+U21</f>
        <v>0</v>
      </c>
      <c r="BK21" s="270">
        <f>BJ21*(AS21*'HARDWARE'!E4+AT21*'HARDWARE'!F4+AU21*'HARDWARE'!G5+AX21*'HARDWARE'!J4+BB21*'HARDWARE'!E8+BC21*'HARDWARE'!F8)</f>
        <v>0</v>
      </c>
    </row>
    <row r="22" ht="16.4" customHeight="1">
      <c r="A22" t="s" s="280">
        <v>91</v>
      </c>
      <c r="B22" t="s" s="205">
        <v>68</v>
      </c>
      <c r="C22" s="237">
        <v>1</v>
      </c>
      <c r="D22" s="238">
        <v>26.6</v>
      </c>
      <c r="E22" s="239"/>
      <c r="F22" s="240"/>
      <c r="G22" s="241"/>
      <c r="H22" s="242"/>
      <c r="I22" s="243"/>
      <c r="J22" s="244"/>
      <c r="K22" s="245"/>
      <c r="L22" s="246"/>
      <c r="M22" s="247"/>
      <c r="N22" s="248"/>
      <c r="O22" s="249">
        <f>E22+F22+G22+H22+I22+J22+K22+L22+M22+N22</f>
        <v>0</v>
      </c>
      <c r="P22" s="250"/>
      <c r="Q22" s="251"/>
      <c r="R22" s="252"/>
      <c r="S22" s="253"/>
      <c r="T22" s="254"/>
      <c r="U22" s="255">
        <f>P22+Q22+R22+S22+T22</f>
        <v>0</v>
      </c>
      <c r="V22" t="s" s="225">
        <v>66</v>
      </c>
      <c r="W22" s="256">
        <f>C22*BJ22</f>
        <v>0</v>
      </c>
      <c r="X22" s="257">
        <f>D22*O22+D22*U22*1.04</f>
        <v>0</v>
      </c>
      <c r="Y22" s="128"/>
      <c r="Z22" s="129">
        <f>U22*10</f>
        <v>0</v>
      </c>
      <c r="AA22" s="129"/>
      <c r="AB22" s="129"/>
      <c r="AC22" s="129"/>
      <c r="AD22" s="129"/>
      <c r="AE22" s="129"/>
      <c r="AF22" s="129"/>
      <c r="AG22" s="129"/>
      <c r="AH22" s="129"/>
      <c r="AI22" s="130"/>
      <c r="AJ22" s="258"/>
      <c r="AK22" s="259"/>
      <c r="AL22" s="259"/>
      <c r="AM22" s="259"/>
      <c r="AN22" s="259"/>
      <c r="AO22" s="260">
        <f>1*BJ22</f>
        <v>0</v>
      </c>
      <c r="AP22" s="256">
        <f>2.4*(U22+O22)</f>
        <v>0</v>
      </c>
      <c r="AQ22" s="235"/>
      <c r="AR22" s="261"/>
      <c r="AS22" s="261">
        <v>1</v>
      </c>
      <c r="AT22" s="261"/>
      <c r="AU22" s="261"/>
      <c r="AV22" s="261"/>
      <c r="AW22" s="261"/>
      <c r="AX22" s="261"/>
      <c r="AY22" s="262"/>
      <c r="AZ22" s="263"/>
      <c r="BA22" s="261"/>
      <c r="BB22" s="261">
        <v>1</v>
      </c>
      <c r="BC22" s="261"/>
      <c r="BD22" s="261"/>
      <c r="BE22" s="261"/>
      <c r="BF22" s="261"/>
      <c r="BG22" s="261"/>
      <c r="BH22" s="235"/>
      <c r="BI22" s="262">
        <v>4</v>
      </c>
      <c r="BJ22" s="270">
        <f>O22+U22</f>
        <v>0</v>
      </c>
      <c r="BK22" s="270">
        <f>BJ22*(AS22*'HARDWARE'!E4+BB22*'HARDWARE'!E6)</f>
        <v>0</v>
      </c>
    </row>
    <row r="23" ht="16.4" customHeight="1">
      <c r="A23" t="s" s="281">
        <v>92</v>
      </c>
      <c r="B23" t="s" s="282">
        <v>70</v>
      </c>
      <c r="C23" s="237">
        <v>16</v>
      </c>
      <c r="D23" s="238">
        <v>39</v>
      </c>
      <c r="E23" s="239"/>
      <c r="F23" s="240"/>
      <c r="G23" s="241"/>
      <c r="H23" s="242"/>
      <c r="I23" s="243"/>
      <c r="J23" s="244"/>
      <c r="K23" s="245"/>
      <c r="L23" s="246"/>
      <c r="M23" s="247"/>
      <c r="N23" s="248"/>
      <c r="O23" s="249">
        <f>E23+F23+G23+H23+I23+J23+K23+L23+M23+N23</f>
        <v>0</v>
      </c>
      <c r="P23" s="250"/>
      <c r="Q23" s="251"/>
      <c r="R23" s="252"/>
      <c r="S23" s="253"/>
      <c r="T23" s="254"/>
      <c r="U23" s="255">
        <f>P23+Q23+R23+S23+T23</f>
        <v>0</v>
      </c>
      <c r="V23" t="s" s="225">
        <v>66</v>
      </c>
      <c r="W23" s="256">
        <f>C23*BJ23</f>
        <v>0</v>
      </c>
      <c r="X23" s="257">
        <f>D23*O23+D23*U23*1.04</f>
        <v>0</v>
      </c>
      <c r="Y23" s="128"/>
      <c r="Z23" s="129"/>
      <c r="AA23" s="129"/>
      <c r="AB23" s="129"/>
      <c r="AC23" s="129"/>
      <c r="AD23" s="129"/>
      <c r="AE23" s="129"/>
      <c r="AF23" s="129"/>
      <c r="AG23" s="129"/>
      <c r="AH23" s="129"/>
      <c r="AI23" s="130"/>
      <c r="AJ23" s="258">
        <f>16*BJ23</f>
        <v>0</v>
      </c>
      <c r="AK23" s="259"/>
      <c r="AL23" s="259"/>
      <c r="AM23" s="259"/>
      <c r="AN23" s="259"/>
      <c r="AO23" s="260"/>
      <c r="AP23" s="256">
        <f>2*(U23+O23)</f>
        <v>0</v>
      </c>
      <c r="AQ23" s="235"/>
      <c r="AR23" s="261"/>
      <c r="AS23" s="261">
        <v>16</v>
      </c>
      <c r="AT23" s="261"/>
      <c r="AU23" s="261"/>
      <c r="AV23" s="261"/>
      <c r="AW23" s="261"/>
      <c r="AX23" s="261"/>
      <c r="AY23" s="262"/>
      <c r="AZ23" s="263"/>
      <c r="BA23" s="261"/>
      <c r="BB23" s="261"/>
      <c r="BC23" s="261"/>
      <c r="BD23" s="261"/>
      <c r="BE23" s="261"/>
      <c r="BF23" s="261"/>
      <c r="BG23" s="261"/>
      <c r="BH23" s="235"/>
      <c r="BI23" t="s" s="279">
        <v>83</v>
      </c>
      <c r="BJ23" s="270">
        <f>O23+U23</f>
        <v>0</v>
      </c>
      <c r="BK23" s="270">
        <f>BJ23*AS23*'HARDWARE'!E5</f>
        <v>0</v>
      </c>
    </row>
    <row r="24" ht="16.4" customHeight="1">
      <c r="A24" t="s" s="283">
        <v>93</v>
      </c>
      <c r="B24" t="s" s="205">
        <v>94</v>
      </c>
      <c r="C24" s="237">
        <v>20</v>
      </c>
      <c r="D24" s="238">
        <v>55.4</v>
      </c>
      <c r="E24" s="239"/>
      <c r="F24" s="240"/>
      <c r="G24" s="241"/>
      <c r="H24" s="242"/>
      <c r="I24" s="243"/>
      <c r="J24" s="244"/>
      <c r="K24" s="245"/>
      <c r="L24" s="246"/>
      <c r="M24" s="247"/>
      <c r="N24" s="248"/>
      <c r="O24" s="249">
        <f>E24+F24+G24+H24+I24+J24+K24+L24+M24+N24</f>
        <v>0</v>
      </c>
      <c r="P24" s="250"/>
      <c r="Q24" s="251"/>
      <c r="R24" s="252"/>
      <c r="S24" s="253"/>
      <c r="T24" s="254"/>
      <c r="U24" s="255">
        <f>P24+Q24+R24+S24+T24</f>
        <v>0</v>
      </c>
      <c r="V24" t="s" s="225">
        <v>66</v>
      </c>
      <c r="W24" s="256">
        <f>C24*BJ24</f>
        <v>0</v>
      </c>
      <c r="X24" s="257">
        <f>D24*O24+D24*U24*1.04</f>
        <v>0</v>
      </c>
      <c r="Y24" s="128"/>
      <c r="Z24" s="129"/>
      <c r="AA24" s="129"/>
      <c r="AB24" s="129"/>
      <c r="AC24" s="129">
        <f>U24*1</f>
        <v>0</v>
      </c>
      <c r="AD24" s="129"/>
      <c r="AE24" s="129"/>
      <c r="AF24" s="129">
        <f>U24*1</f>
        <v>0</v>
      </c>
      <c r="AG24" s="129">
        <f>U24*3</f>
        <v>0</v>
      </c>
      <c r="AH24" s="129"/>
      <c r="AI24" s="130"/>
      <c r="AJ24" s="258"/>
      <c r="AK24" s="259">
        <f>20*BJ24</f>
        <v>0</v>
      </c>
      <c r="AL24" s="259"/>
      <c r="AM24" s="259"/>
      <c r="AN24" s="259"/>
      <c r="AO24" s="265"/>
      <c r="AP24" s="258">
        <f>2.4*(U24+O24)</f>
        <v>0</v>
      </c>
      <c r="AQ24" s="266"/>
      <c r="AR24" s="267">
        <v>14</v>
      </c>
      <c r="AS24" s="267">
        <v>6</v>
      </c>
      <c r="AT24" s="267"/>
      <c r="AU24" s="267"/>
      <c r="AV24" s="267"/>
      <c r="AW24" s="267"/>
      <c r="AX24" s="267"/>
      <c r="AY24" s="268"/>
      <c r="AZ24" s="269">
        <v>5</v>
      </c>
      <c r="BA24" s="267">
        <v>15</v>
      </c>
      <c r="BB24" s="267"/>
      <c r="BC24" s="267"/>
      <c r="BD24" s="267"/>
      <c r="BE24" s="267"/>
      <c r="BF24" s="267"/>
      <c r="BG24" s="267"/>
      <c r="BH24" s="266"/>
      <c r="BI24" s="268">
        <v>4</v>
      </c>
      <c r="BJ24" s="264">
        <f>O24+U24</f>
        <v>0</v>
      </c>
      <c r="BK24" s="270">
        <f>BJ24*(AR24*'HARDWARE'!D4+AS24*'HARDWARE'!E4)</f>
        <v>0</v>
      </c>
    </row>
    <row r="25" ht="16.4" customHeight="1">
      <c r="A25" t="s" s="204">
        <v>95</v>
      </c>
      <c r="B25" t="s" s="205">
        <v>68</v>
      </c>
      <c r="C25" s="237">
        <v>30</v>
      </c>
      <c r="D25" s="238">
        <v>93.2</v>
      </c>
      <c r="E25" s="239"/>
      <c r="F25" s="240"/>
      <c r="G25" s="241"/>
      <c r="H25" s="242"/>
      <c r="I25" s="243"/>
      <c r="J25" s="244"/>
      <c r="K25" s="245"/>
      <c r="L25" s="246"/>
      <c r="M25" s="247"/>
      <c r="N25" s="248"/>
      <c r="O25" s="249">
        <f>E25+F25+G25+H25+I25+J25+K25+L25+M25+N25</f>
        <v>0</v>
      </c>
      <c r="P25" s="250"/>
      <c r="Q25" s="251"/>
      <c r="R25" s="252"/>
      <c r="S25" s="253"/>
      <c r="T25" s="254"/>
      <c r="U25" s="255">
        <f>P25+Q25+R25+S25+T25</f>
        <v>0</v>
      </c>
      <c r="V25" t="s" s="225">
        <v>66</v>
      </c>
      <c r="W25" s="256">
        <f>C25*BJ25</f>
        <v>0</v>
      </c>
      <c r="X25" s="257">
        <f>D25*O25+D25*U25*1.04</f>
        <v>0</v>
      </c>
      <c r="Y25" s="128"/>
      <c r="Z25" s="129">
        <f>U25*4</f>
        <v>0</v>
      </c>
      <c r="AA25" s="129">
        <f>U25*7</f>
        <v>0</v>
      </c>
      <c r="AB25" s="129">
        <f>U25*1</f>
        <v>0</v>
      </c>
      <c r="AC25" s="129"/>
      <c r="AD25" s="129"/>
      <c r="AE25" s="129"/>
      <c r="AF25" s="129"/>
      <c r="AG25" s="129"/>
      <c r="AH25" s="129"/>
      <c r="AI25" s="130"/>
      <c r="AJ25" s="258"/>
      <c r="AK25" s="259">
        <f>30*BJ25</f>
        <v>0</v>
      </c>
      <c r="AL25" s="259"/>
      <c r="AM25" s="259"/>
      <c r="AN25" s="259"/>
      <c r="AO25" s="265"/>
      <c r="AP25" s="258">
        <f>4.7*(U25+O25)</f>
        <v>0</v>
      </c>
      <c r="AQ25" s="266"/>
      <c r="AR25" s="267">
        <v>21</v>
      </c>
      <c r="AS25" s="267">
        <v>9</v>
      </c>
      <c r="AT25" s="267"/>
      <c r="AU25" s="267"/>
      <c r="AV25" s="267"/>
      <c r="AW25" s="267"/>
      <c r="AX25" s="267"/>
      <c r="AY25" s="268"/>
      <c r="AZ25" s="269">
        <v>8</v>
      </c>
      <c r="BA25" s="267">
        <v>22</v>
      </c>
      <c r="BB25" s="267"/>
      <c r="BC25" s="267"/>
      <c r="BD25" s="267"/>
      <c r="BE25" s="267"/>
      <c r="BF25" s="267"/>
      <c r="BG25" s="267"/>
      <c r="BH25" s="266"/>
      <c r="BI25" s="268">
        <v>4</v>
      </c>
      <c r="BJ25" s="270">
        <f>O25+U25</f>
        <v>0</v>
      </c>
      <c r="BK25" s="270">
        <f>BJ25*(AR25*'HARDWARE'!D4+AS25*'HARDWARE'!E4+AZ25*'HARDWARE'!C6+BA25*'HARDWARE'!D6)</f>
        <v>0</v>
      </c>
    </row>
    <row r="26" ht="16.4" customHeight="1">
      <c r="A26" t="s" s="204">
        <v>96</v>
      </c>
      <c r="B26" t="s" s="205">
        <v>68</v>
      </c>
      <c r="C26" s="237">
        <v>22</v>
      </c>
      <c r="D26" s="238">
        <v>112.2</v>
      </c>
      <c r="E26" s="239"/>
      <c r="F26" s="240"/>
      <c r="G26" s="241"/>
      <c r="H26" s="242"/>
      <c r="I26" s="243"/>
      <c r="J26" s="244"/>
      <c r="K26" s="245"/>
      <c r="L26" s="246"/>
      <c r="M26" s="247"/>
      <c r="N26" s="248"/>
      <c r="O26" s="249">
        <f>E26+F26+G26+H26+I26+J26+K26+L26+M26+N26</f>
        <v>0</v>
      </c>
      <c r="P26" s="250"/>
      <c r="Q26" s="251"/>
      <c r="R26" s="252"/>
      <c r="S26" s="253"/>
      <c r="T26" s="254"/>
      <c r="U26" s="255">
        <f>P26+Q26+R26+S26+T26</f>
        <v>0</v>
      </c>
      <c r="V26" t="s" s="225">
        <v>66</v>
      </c>
      <c r="W26" s="256">
        <f>C26*BJ26</f>
        <v>0</v>
      </c>
      <c r="X26" s="257">
        <f>D26*O26+D26*U26*1.04</f>
        <v>0</v>
      </c>
      <c r="Y26" s="128"/>
      <c r="Z26" s="129"/>
      <c r="AA26" s="129">
        <f>U26*7</f>
        <v>0</v>
      </c>
      <c r="AB26" s="129">
        <f>U26*3</f>
        <v>0</v>
      </c>
      <c r="AC26" s="129"/>
      <c r="AD26" s="129"/>
      <c r="AE26" s="129"/>
      <c r="AF26" s="129"/>
      <c r="AG26" s="129"/>
      <c r="AH26" s="129"/>
      <c r="AI26" s="130"/>
      <c r="AJ26" s="258"/>
      <c r="AK26" s="259"/>
      <c r="AL26" s="259">
        <f>22*BJ26</f>
        <v>0</v>
      </c>
      <c r="AM26" s="259"/>
      <c r="AN26" s="259"/>
      <c r="AO26" s="265"/>
      <c r="AP26" s="256">
        <f>8*(U26+O26)</f>
        <v>0</v>
      </c>
      <c r="AQ26" s="235"/>
      <c r="AR26" s="261"/>
      <c r="AS26" s="261">
        <v>13</v>
      </c>
      <c r="AT26" s="261">
        <v>9</v>
      </c>
      <c r="AU26" s="261"/>
      <c r="AV26" s="261"/>
      <c r="AW26" s="261"/>
      <c r="AX26" s="261"/>
      <c r="AY26" s="262"/>
      <c r="AZ26" s="263"/>
      <c r="BA26" s="261">
        <v>16</v>
      </c>
      <c r="BB26" s="261">
        <v>6</v>
      </c>
      <c r="BC26" s="261"/>
      <c r="BD26" s="261"/>
      <c r="BE26" s="261"/>
      <c r="BF26" s="261"/>
      <c r="BG26" s="261"/>
      <c r="BH26" s="235"/>
      <c r="BI26" s="262">
        <v>4</v>
      </c>
      <c r="BJ26" s="264">
        <f>O26+U26</f>
        <v>0</v>
      </c>
      <c r="BK26" s="270">
        <f>BJ26*(AS26*'HARDWARE'!E4+AT26*'HARDWARE'!F4+BA26*'HARDWARE'!D6+BB26*'HARDWARE'!E6)</f>
        <v>0</v>
      </c>
    </row>
    <row r="27" ht="16.4" customHeight="1">
      <c r="A27" t="s" s="204">
        <v>97</v>
      </c>
      <c r="B27" t="s" s="205">
        <v>68</v>
      </c>
      <c r="C27" s="237">
        <v>10</v>
      </c>
      <c r="D27" s="238">
        <v>64.5</v>
      </c>
      <c r="E27" s="239"/>
      <c r="F27" s="240"/>
      <c r="G27" s="241"/>
      <c r="H27" s="242"/>
      <c r="I27" s="243"/>
      <c r="J27" s="244"/>
      <c r="K27" s="245"/>
      <c r="L27" s="246"/>
      <c r="M27" s="247"/>
      <c r="N27" s="248"/>
      <c r="O27" s="249">
        <f>E27+F27+G27+H27+I27+J27+K27+L27+M27+N27</f>
        <v>0</v>
      </c>
      <c r="P27" s="250"/>
      <c r="Q27" s="251"/>
      <c r="R27" s="252"/>
      <c r="S27" s="253"/>
      <c r="T27" s="254"/>
      <c r="U27" s="255">
        <f>P27+Q27+R27+S27+T27</f>
        <v>0</v>
      </c>
      <c r="V27" t="s" s="225">
        <v>66</v>
      </c>
      <c r="W27" s="256">
        <f>C27*BJ27</f>
        <v>0</v>
      </c>
      <c r="X27" s="257">
        <f>D27*O27+D27*U27*1.04</f>
        <v>0</v>
      </c>
      <c r="Y27" s="128"/>
      <c r="Z27" s="129"/>
      <c r="AA27" s="129">
        <f>U27*2</f>
        <v>0</v>
      </c>
      <c r="AB27" s="129">
        <f>U27*3</f>
        <v>0</v>
      </c>
      <c r="AC27" s="129">
        <f>U27*3</f>
        <v>0</v>
      </c>
      <c r="AD27" s="129"/>
      <c r="AE27" s="129"/>
      <c r="AF27" s="129"/>
      <c r="AG27" s="129"/>
      <c r="AH27" s="129"/>
      <c r="AI27" s="130"/>
      <c r="AJ27" s="258"/>
      <c r="AK27" s="259"/>
      <c r="AL27" s="259"/>
      <c r="AM27" s="259">
        <f>10*BJ27</f>
        <v>0</v>
      </c>
      <c r="AN27" s="259"/>
      <c r="AO27" s="265"/>
      <c r="AP27" s="258">
        <f>5.2*(U27+O27)</f>
        <v>0</v>
      </c>
      <c r="AQ27" s="266"/>
      <c r="AR27" s="267"/>
      <c r="AS27" s="267">
        <v>4</v>
      </c>
      <c r="AT27" s="267">
        <v>6</v>
      </c>
      <c r="AU27" s="267"/>
      <c r="AV27" s="267"/>
      <c r="AW27" s="267"/>
      <c r="AX27" s="267"/>
      <c r="AY27" s="268"/>
      <c r="AZ27" s="269"/>
      <c r="BA27" s="267">
        <v>3</v>
      </c>
      <c r="BB27" s="267">
        <v>7</v>
      </c>
      <c r="BC27" s="267"/>
      <c r="BD27" s="267"/>
      <c r="BE27" s="267"/>
      <c r="BF27" s="267"/>
      <c r="BG27" s="267"/>
      <c r="BH27" s="266"/>
      <c r="BI27" s="268">
        <v>4</v>
      </c>
      <c r="BJ27" s="270">
        <f>O27+U27</f>
        <v>0</v>
      </c>
      <c r="BK27" s="270">
        <f>BJ27*(AS27*'HARDWARE'!E4+AT27*'HARDWARE'!F4+BA27*'HARDWARE'!D6+BB27*'HARDWARE'!E6)</f>
        <v>0</v>
      </c>
    </row>
    <row r="28" ht="16.4" customHeight="1">
      <c r="A28" t="s" s="204">
        <v>98</v>
      </c>
      <c r="B28" t="s" s="205">
        <v>68</v>
      </c>
      <c r="C28" s="237">
        <v>4</v>
      </c>
      <c r="D28" s="238">
        <v>46.5</v>
      </c>
      <c r="E28" s="239"/>
      <c r="F28" s="240"/>
      <c r="G28" s="241"/>
      <c r="H28" s="242"/>
      <c r="I28" s="243"/>
      <c r="J28" s="244"/>
      <c r="K28" s="245"/>
      <c r="L28" s="246"/>
      <c r="M28" s="247"/>
      <c r="N28" s="248"/>
      <c r="O28" s="249">
        <f>E28+F28+G28+H28+I28+J28+K28+L28+M28+N28</f>
        <v>0</v>
      </c>
      <c r="P28" s="250"/>
      <c r="Q28" s="251"/>
      <c r="R28" s="252"/>
      <c r="S28" s="253"/>
      <c r="T28" s="254"/>
      <c r="U28" s="255">
        <f>P28+Q28+R28+S28+T28</f>
        <v>0</v>
      </c>
      <c r="V28" t="s" s="225">
        <v>66</v>
      </c>
      <c r="W28" s="256">
        <f>C28*BJ28</f>
        <v>0</v>
      </c>
      <c r="X28" s="257">
        <f>D28*O28+D28*U28*1.04</f>
        <v>0</v>
      </c>
      <c r="Y28" s="128"/>
      <c r="Z28" s="129">
        <f>4*U28</f>
        <v>0</v>
      </c>
      <c r="AA28" s="129">
        <f>U28*16</f>
        <v>0</v>
      </c>
      <c r="AB28" s="129">
        <f>U28*7</f>
        <v>0</v>
      </c>
      <c r="AC28" s="129">
        <f>U28*3</f>
        <v>0</v>
      </c>
      <c r="AD28" s="129"/>
      <c r="AE28" s="129"/>
      <c r="AF28" s="129"/>
      <c r="AG28" s="129"/>
      <c r="AH28" s="129"/>
      <c r="AI28" s="130"/>
      <c r="AJ28" s="258"/>
      <c r="AK28" s="259"/>
      <c r="AL28" s="259"/>
      <c r="AM28" s="259"/>
      <c r="AN28" s="259">
        <f>4*BJ28</f>
        <v>0</v>
      </c>
      <c r="AO28" s="265"/>
      <c r="AP28" s="258">
        <f>4.3*(U28+O28)</f>
        <v>0</v>
      </c>
      <c r="AQ28" s="266"/>
      <c r="AR28" s="267"/>
      <c r="AS28" s="267"/>
      <c r="AT28" s="267">
        <v>4</v>
      </c>
      <c r="AU28" s="267"/>
      <c r="AV28" s="267"/>
      <c r="AW28" s="267"/>
      <c r="AX28" s="267"/>
      <c r="AY28" s="268"/>
      <c r="AZ28" s="269"/>
      <c r="BA28" s="267"/>
      <c r="BB28" s="267"/>
      <c r="BC28" s="267">
        <v>4</v>
      </c>
      <c r="BD28" s="267"/>
      <c r="BE28" s="267"/>
      <c r="BF28" s="267"/>
      <c r="BG28" s="267"/>
      <c r="BH28" s="266"/>
      <c r="BI28" s="268">
        <v>4</v>
      </c>
      <c r="BJ28" s="264">
        <f>O28+U28</f>
        <v>0</v>
      </c>
      <c r="BK28" s="270">
        <f>BJ28*(AT28*'HARDWARE'!F5+BA27*'HARDWARE'!D6+BB27*'HARDWARE'!E6)</f>
        <v>0</v>
      </c>
    </row>
    <row r="29" ht="16.4" customHeight="1">
      <c r="A29" t="s" s="204">
        <v>99</v>
      </c>
      <c r="B29" t="s" s="205">
        <v>100</v>
      </c>
      <c r="C29" s="237">
        <v>20</v>
      </c>
      <c r="D29" s="238">
        <v>122.3</v>
      </c>
      <c r="E29" s="239"/>
      <c r="F29" s="240"/>
      <c r="G29" s="241"/>
      <c r="H29" s="242"/>
      <c r="I29" s="243"/>
      <c r="J29" s="244"/>
      <c r="K29" s="245"/>
      <c r="L29" s="246"/>
      <c r="M29" s="247"/>
      <c r="N29" s="248"/>
      <c r="O29" s="249">
        <f>E29+F29+G29+H29+I29+J29+K29+L29+M29+N29</f>
        <v>0</v>
      </c>
      <c r="P29" s="250"/>
      <c r="Q29" s="251"/>
      <c r="R29" s="252"/>
      <c r="S29" s="253"/>
      <c r="T29" s="254"/>
      <c r="U29" s="255">
        <f>P29+Q29+R29+S29+T29</f>
        <v>0</v>
      </c>
      <c r="V29" t="s" s="225">
        <v>66</v>
      </c>
      <c r="W29" s="256">
        <f>C29*BJ29</f>
        <v>0</v>
      </c>
      <c r="X29" s="257">
        <f>D29*O29+D29*U29*1.04</f>
        <v>0</v>
      </c>
      <c r="Y29" s="128"/>
      <c r="Z29" s="129"/>
      <c r="AA29" s="129">
        <f>U29*10</f>
        <v>0</v>
      </c>
      <c r="AB29" s="129"/>
      <c r="AC29" s="129"/>
      <c r="AD29" s="129"/>
      <c r="AE29" s="129"/>
      <c r="AF29" s="129"/>
      <c r="AG29" s="129"/>
      <c r="AH29" s="129"/>
      <c r="AI29" s="130"/>
      <c r="AJ29" s="258"/>
      <c r="AK29" s="259">
        <f>4*BJ29</f>
        <v>0</v>
      </c>
      <c r="AL29" s="259">
        <f>9*BJ29</f>
        <v>0</v>
      </c>
      <c r="AM29" s="259">
        <f>3*BJ29</f>
        <v>0</v>
      </c>
      <c r="AN29" s="259">
        <f>4*BJ29</f>
        <v>0</v>
      </c>
      <c r="AO29" s="265"/>
      <c r="AP29" s="258">
        <f>9.3*(U29+O29)</f>
        <v>0</v>
      </c>
      <c r="AQ29" s="266"/>
      <c r="AR29" s="267"/>
      <c r="AS29" s="267">
        <v>1</v>
      </c>
      <c r="AT29" s="267">
        <v>3</v>
      </c>
      <c r="AU29" s="267">
        <v>4</v>
      </c>
      <c r="AV29" s="267">
        <v>2</v>
      </c>
      <c r="AW29" s="267"/>
      <c r="AX29" s="267">
        <v>10</v>
      </c>
      <c r="AY29" s="268"/>
      <c r="AZ29" s="269"/>
      <c r="BA29" s="267">
        <v>2</v>
      </c>
      <c r="BB29" s="267">
        <v>12</v>
      </c>
      <c r="BC29" s="267">
        <v>6</v>
      </c>
      <c r="BD29" s="267"/>
      <c r="BE29" s="267"/>
      <c r="BF29" s="267"/>
      <c r="BG29" s="267"/>
      <c r="BH29" s="266"/>
      <c r="BI29" s="268">
        <v>4</v>
      </c>
      <c r="BJ29" s="270">
        <f>O29+U29</f>
        <v>0</v>
      </c>
      <c r="BK29" s="270">
        <f>BJ29*(AS29*'HARDWARE'!E4+AT29*'HARDWARE'!F4+AU29*'HARDWARE'!G5+AV29*'HARDWARE'!H4+AX29*'HARDWARE'!J4+BA29*'HARDWARE'!D6+BB29*'HARDWARE'!E6+BC29*'HARDWARE'!F7)</f>
        <v>0</v>
      </c>
    </row>
    <row r="30" ht="16.4" customHeight="1">
      <c r="A30" t="s" s="204">
        <v>101</v>
      </c>
      <c r="B30" t="s" s="205">
        <v>68</v>
      </c>
      <c r="C30" s="237">
        <v>12</v>
      </c>
      <c r="D30" s="238">
        <v>92.09999999999999</v>
      </c>
      <c r="E30" s="239"/>
      <c r="F30" s="240"/>
      <c r="G30" s="241"/>
      <c r="H30" s="242"/>
      <c r="I30" s="243"/>
      <c r="J30" s="244"/>
      <c r="K30" s="245"/>
      <c r="L30" s="246"/>
      <c r="M30" s="247"/>
      <c r="N30" s="248"/>
      <c r="O30" s="249">
        <f>E30+F30+G30+H30+I30+J30+K30+L30+M30+N30</f>
        <v>0</v>
      </c>
      <c r="P30" s="250"/>
      <c r="Q30" s="251"/>
      <c r="R30" s="252"/>
      <c r="S30" s="253"/>
      <c r="T30" s="254"/>
      <c r="U30" s="255">
        <f>P30+Q30+R30+S30+T30</f>
        <v>0</v>
      </c>
      <c r="V30" t="s" s="225">
        <v>66</v>
      </c>
      <c r="W30" s="256">
        <f>C30*BJ30</f>
        <v>0</v>
      </c>
      <c r="X30" s="257">
        <f>D30*O30+D30*U30*1.04</f>
        <v>0</v>
      </c>
      <c r="Y30" s="128"/>
      <c r="Z30" s="129">
        <f>U30*6</f>
        <v>0</v>
      </c>
      <c r="AA30" s="129">
        <f>U30*6</f>
        <v>0</v>
      </c>
      <c r="AB30" s="129"/>
      <c r="AC30" s="129"/>
      <c r="AD30" s="129"/>
      <c r="AE30" s="129"/>
      <c r="AF30" s="129"/>
      <c r="AG30" s="129"/>
      <c r="AH30" s="129"/>
      <c r="AI30" s="130"/>
      <c r="AJ30" s="258"/>
      <c r="AK30" s="259"/>
      <c r="AL30" s="259"/>
      <c r="AM30" s="259">
        <f>12*BJ30</f>
        <v>0</v>
      </c>
      <c r="AN30" s="259"/>
      <c r="AO30" s="265"/>
      <c r="AP30" s="258">
        <f>8.1*(U30+O30)</f>
        <v>0</v>
      </c>
      <c r="AQ30" s="266"/>
      <c r="AR30" s="267"/>
      <c r="AS30" s="267">
        <v>2</v>
      </c>
      <c r="AT30" s="267">
        <v>3</v>
      </c>
      <c r="AU30" s="267">
        <v>7</v>
      </c>
      <c r="AV30" s="267"/>
      <c r="AW30" s="267"/>
      <c r="AX30" s="267"/>
      <c r="AY30" s="268"/>
      <c r="AZ30" s="269"/>
      <c r="BA30" s="267">
        <v>4</v>
      </c>
      <c r="BB30" s="267">
        <v>6</v>
      </c>
      <c r="BC30" s="267">
        <v>2</v>
      </c>
      <c r="BD30" s="267"/>
      <c r="BE30" s="267"/>
      <c r="BF30" s="267"/>
      <c r="BG30" s="267"/>
      <c r="BH30" s="266"/>
      <c r="BI30" s="268">
        <v>4</v>
      </c>
      <c r="BJ30" s="264">
        <f>O30+U30</f>
        <v>0</v>
      </c>
      <c r="BK30" s="270">
        <f>BJ30*(AS30*'HARDWARE'!E4+AT30*'HARDWARE'!F4+AU30*'HARDWARE'!G5+BA30*'HARDWARE'!D6+BB30*'HARDWARE'!E6+BC30*'HARDWARE'!F7)</f>
        <v>0</v>
      </c>
    </row>
    <row r="31" ht="16.4" customHeight="1">
      <c r="A31" t="s" s="204">
        <v>102</v>
      </c>
      <c r="B31" t="s" s="205">
        <v>103</v>
      </c>
      <c r="C31" s="237">
        <v>14</v>
      </c>
      <c r="D31" s="238">
        <v>51.5</v>
      </c>
      <c r="E31" s="239"/>
      <c r="F31" s="240"/>
      <c r="G31" s="241"/>
      <c r="H31" s="242"/>
      <c r="I31" s="243"/>
      <c r="J31" s="244"/>
      <c r="K31" s="245"/>
      <c r="L31" s="246"/>
      <c r="M31" s="247"/>
      <c r="N31" s="248"/>
      <c r="O31" s="249">
        <f>E31+F31+G31+H31+I31+J31+K31+L31+M31+N31</f>
        <v>0</v>
      </c>
      <c r="P31" s="250"/>
      <c r="Q31" s="251"/>
      <c r="R31" s="252"/>
      <c r="S31" s="253"/>
      <c r="T31" s="254"/>
      <c r="U31" s="255">
        <f>P31+Q31+R31+S31+T31</f>
        <v>0</v>
      </c>
      <c r="V31" t="s" s="225">
        <v>66</v>
      </c>
      <c r="W31" s="256">
        <f>C31*BJ31</f>
        <v>0</v>
      </c>
      <c r="X31" s="257">
        <f>D31*O31+D31*U31*1.04</f>
        <v>0</v>
      </c>
      <c r="Y31" s="128"/>
      <c r="Z31" s="129"/>
      <c r="AA31" s="129"/>
      <c r="AB31" s="129"/>
      <c r="AC31" s="129"/>
      <c r="AD31" s="129"/>
      <c r="AE31" s="129">
        <f>U31*1</f>
        <v>0</v>
      </c>
      <c r="AF31" s="129">
        <f>U31*4</f>
        <v>0</v>
      </c>
      <c r="AG31" s="129"/>
      <c r="AH31" s="129"/>
      <c r="AI31" s="130"/>
      <c r="AJ31" s="258"/>
      <c r="AK31" s="259"/>
      <c r="AL31" s="259">
        <f>14*BJ31</f>
        <v>0</v>
      </c>
      <c r="AM31" s="259"/>
      <c r="AN31" s="259"/>
      <c r="AO31" s="265"/>
      <c r="AP31" s="258">
        <f>3*(U31+O31)</f>
        <v>0</v>
      </c>
      <c r="AQ31" s="266"/>
      <c r="AR31" s="267">
        <v>8</v>
      </c>
      <c r="AS31" s="267">
        <v>19</v>
      </c>
      <c r="AT31" s="267">
        <v>1</v>
      </c>
      <c r="AU31" s="267"/>
      <c r="AV31" s="267"/>
      <c r="AW31" s="267"/>
      <c r="AX31" s="267"/>
      <c r="AY31" s="268"/>
      <c r="AZ31" s="269"/>
      <c r="BA31" s="267"/>
      <c r="BB31" s="267"/>
      <c r="BC31" s="267"/>
      <c r="BD31" s="267"/>
      <c r="BE31" s="267"/>
      <c r="BF31" s="267"/>
      <c r="BG31" s="267"/>
      <c r="BH31" s="266"/>
      <c r="BI31" t="s" s="277">
        <v>104</v>
      </c>
      <c r="BJ31" s="270">
        <f>O31+U31</f>
        <v>0</v>
      </c>
      <c r="BK31" s="270">
        <f>BJ31*(AR31*'HARDWARE'!D4+AS31*'HARDWARE'!E4+AT31*'HARDWARE'!F4)</f>
        <v>0</v>
      </c>
    </row>
    <row r="32" ht="16.4" customHeight="1">
      <c r="A32" t="s" s="204">
        <v>105</v>
      </c>
      <c r="B32" t="s" s="205">
        <v>65</v>
      </c>
      <c r="C32" s="237">
        <v>6</v>
      </c>
      <c r="D32" s="238">
        <v>28.8</v>
      </c>
      <c r="E32" s="239"/>
      <c r="F32" s="240"/>
      <c r="G32" s="241"/>
      <c r="H32" s="242"/>
      <c r="I32" s="243"/>
      <c r="J32" s="244"/>
      <c r="K32" s="245"/>
      <c r="L32" s="246"/>
      <c r="M32" s="247"/>
      <c r="N32" s="248"/>
      <c r="O32" s="249">
        <f>E32+F32+G32+H32+I32+J32+K32+L32+M32+N32</f>
        <v>0</v>
      </c>
      <c r="P32" s="250"/>
      <c r="Q32" s="251"/>
      <c r="R32" s="252"/>
      <c r="S32" s="253"/>
      <c r="T32" s="254"/>
      <c r="U32" s="255">
        <f>P32+Q32+R32+S32+T32</f>
        <v>0</v>
      </c>
      <c r="V32" t="s" s="225">
        <v>66</v>
      </c>
      <c r="W32" s="256">
        <f>C32*BJ32</f>
        <v>0</v>
      </c>
      <c r="X32" s="257">
        <f>D32*O32+D32*U32*1.04</f>
        <v>0</v>
      </c>
      <c r="Y32" s="128"/>
      <c r="Z32" s="129">
        <f>U32*1</f>
        <v>0</v>
      </c>
      <c r="AA32" s="129">
        <f>U32*6</f>
        <v>0</v>
      </c>
      <c r="AB32" s="129">
        <f>U32*3</f>
        <v>0</v>
      </c>
      <c r="AC32" s="129">
        <f>U32*2</f>
        <v>0</v>
      </c>
      <c r="AD32" s="129"/>
      <c r="AE32" s="129"/>
      <c r="AF32" s="129"/>
      <c r="AG32" s="129"/>
      <c r="AH32" s="129"/>
      <c r="AI32" s="130"/>
      <c r="AJ32" s="258"/>
      <c r="AK32" s="259"/>
      <c r="AL32" s="259">
        <f>4*BJ32</f>
        <v>0</v>
      </c>
      <c r="AM32" s="284">
        <f>2*BJ32</f>
        <v>0</v>
      </c>
      <c r="AN32" s="284"/>
      <c r="AO32" s="265"/>
      <c r="AP32" s="258">
        <f>2.2*(U32+O32)</f>
        <v>0</v>
      </c>
      <c r="AQ32" s="266"/>
      <c r="AR32" s="267">
        <v>2</v>
      </c>
      <c r="AS32" s="267">
        <v>2</v>
      </c>
      <c r="AT32" s="267"/>
      <c r="AU32" s="267"/>
      <c r="AV32" s="267"/>
      <c r="AW32" s="267"/>
      <c r="AX32" s="267"/>
      <c r="AY32" s="268"/>
      <c r="AZ32" s="269">
        <v>6</v>
      </c>
      <c r="BA32" s="267">
        <v>3</v>
      </c>
      <c r="BB32" s="267"/>
      <c r="BC32" s="267"/>
      <c r="BD32" s="267"/>
      <c r="BE32" s="267"/>
      <c r="BF32" s="267"/>
      <c r="BG32" s="267"/>
      <c r="BH32" s="266"/>
      <c r="BI32" s="268">
        <v>5</v>
      </c>
      <c r="BJ32" s="264">
        <f>O32+U32</f>
        <v>0</v>
      </c>
      <c r="BK32" s="270">
        <f>BJ32*(AR32*'HARDWARE'!D4+AS32*'HARDWARE'!E4+AZ32*'HARDWARE'!C7+BA32*'HARDWARE'!D7)</f>
        <v>0</v>
      </c>
    </row>
    <row r="33" ht="16.4" customHeight="1">
      <c r="A33" t="s" s="204">
        <v>106</v>
      </c>
      <c r="B33" t="s" s="205">
        <v>68</v>
      </c>
      <c r="C33" s="237">
        <v>1</v>
      </c>
      <c r="D33" s="238">
        <v>22.9</v>
      </c>
      <c r="E33" s="239"/>
      <c r="F33" s="240"/>
      <c r="G33" s="285"/>
      <c r="H33" s="242"/>
      <c r="I33" s="243"/>
      <c r="J33" s="244"/>
      <c r="K33" s="245"/>
      <c r="L33" s="246"/>
      <c r="M33" s="247"/>
      <c r="N33" s="248"/>
      <c r="O33" s="249">
        <f>E33+F33+G33+H33+I33+J33+K33+L33+M33+N33</f>
        <v>0</v>
      </c>
      <c r="P33" s="250"/>
      <c r="Q33" s="251"/>
      <c r="R33" s="252"/>
      <c r="S33" s="253"/>
      <c r="T33" s="254"/>
      <c r="U33" s="255">
        <f>P33+Q33+R33+S33+T33</f>
        <v>0</v>
      </c>
      <c r="V33" t="s" s="225">
        <v>66</v>
      </c>
      <c r="W33" s="256">
        <f>C33*BJ33</f>
        <v>0</v>
      </c>
      <c r="X33" s="257">
        <f>D33*O33+D33*U33*1.04</f>
        <v>0</v>
      </c>
      <c r="Y33" s="128"/>
      <c r="Z33" s="129">
        <f>U33*3</f>
        <v>0</v>
      </c>
      <c r="AA33" s="129"/>
      <c r="AB33" s="129">
        <f>U33*1</f>
        <v>0</v>
      </c>
      <c r="AC33" s="129">
        <f>U33*5</f>
        <v>0</v>
      </c>
      <c r="AD33" s="129">
        <f>U33*1</f>
        <v>0</v>
      </c>
      <c r="AE33" s="129"/>
      <c r="AF33" s="129"/>
      <c r="AG33" s="129"/>
      <c r="AH33" s="129"/>
      <c r="AI33" s="130"/>
      <c r="AJ33" s="258"/>
      <c r="AK33" s="259"/>
      <c r="AL33" s="259"/>
      <c r="AM33" s="259"/>
      <c r="AN33" s="259"/>
      <c r="AO33" s="260">
        <f>1*BJ33</f>
        <v>0</v>
      </c>
      <c r="AP33" s="256">
        <f>2.5*(U33+O33)</f>
        <v>0</v>
      </c>
      <c r="AQ33" s="235"/>
      <c r="AR33" s="261"/>
      <c r="AS33" s="261"/>
      <c r="AT33" s="261"/>
      <c r="AU33" s="261"/>
      <c r="AV33" s="261"/>
      <c r="AW33" s="261"/>
      <c r="AX33" s="261">
        <v>1</v>
      </c>
      <c r="AY33" s="262"/>
      <c r="AZ33" s="263"/>
      <c r="BA33" s="261"/>
      <c r="BB33" s="261">
        <v>4</v>
      </c>
      <c r="BC33" s="261">
        <v>2</v>
      </c>
      <c r="BD33" s="261"/>
      <c r="BE33" s="261"/>
      <c r="BF33" s="261"/>
      <c r="BG33" s="261"/>
      <c r="BH33" s="235"/>
      <c r="BI33" s="262">
        <v>4</v>
      </c>
      <c r="BJ33" s="270">
        <f>O33+U33</f>
        <v>0</v>
      </c>
      <c r="BK33" s="270">
        <f>BJ33*(AX33*'HARDWARE'!J4+BB33*'HARDWARE'!E6+BC33*'HARDWARE'!F7)</f>
        <v>0</v>
      </c>
    </row>
    <row r="34" ht="16.4" customHeight="1">
      <c r="A34" t="s" s="204">
        <v>107</v>
      </c>
      <c r="B34" t="s" s="205">
        <v>65</v>
      </c>
      <c r="C34" s="237">
        <v>1</v>
      </c>
      <c r="D34" s="238">
        <v>39.2</v>
      </c>
      <c r="E34" s="239"/>
      <c r="F34" s="240"/>
      <c r="G34" s="285"/>
      <c r="H34" s="242"/>
      <c r="I34" s="243"/>
      <c r="J34" s="244"/>
      <c r="K34" s="245"/>
      <c r="L34" s="246"/>
      <c r="M34" s="247"/>
      <c r="N34" s="248"/>
      <c r="O34" s="249">
        <f>E34+F34+G34+H34+I34+J34+K34+L34+M34+N34</f>
        <v>0</v>
      </c>
      <c r="P34" s="250"/>
      <c r="Q34" s="251"/>
      <c r="R34" s="252"/>
      <c r="S34" s="253"/>
      <c r="T34" s="254"/>
      <c r="U34" s="255">
        <f>P34+Q34+R34+S34+T34</f>
        <v>0</v>
      </c>
      <c r="V34" t="s" s="225">
        <v>66</v>
      </c>
      <c r="W34" s="256">
        <f>C34*BJ34</f>
        <v>0</v>
      </c>
      <c r="X34" s="257">
        <f>D34*O34+D34*U34*1.04</f>
        <v>0</v>
      </c>
      <c r="Y34" s="128"/>
      <c r="Z34" s="129"/>
      <c r="AA34" s="129"/>
      <c r="AB34" s="129"/>
      <c r="AC34" s="129">
        <f>U34*2</f>
        <v>0</v>
      </c>
      <c r="AD34" s="129">
        <f>U34*5</f>
        <v>0</v>
      </c>
      <c r="AE34" s="129">
        <f>U34*1</f>
        <v>0</v>
      </c>
      <c r="AF34" s="129"/>
      <c r="AG34" s="129"/>
      <c r="AH34" s="129"/>
      <c r="AI34" s="130"/>
      <c r="AJ34" s="258"/>
      <c r="AK34" s="259"/>
      <c r="AL34" s="259"/>
      <c r="AM34" s="259"/>
      <c r="AN34" s="259"/>
      <c r="AO34" s="260">
        <f>1*BJ34</f>
        <v>0</v>
      </c>
      <c r="AP34" s="256">
        <f>3.1*(U34+O34)</f>
        <v>0</v>
      </c>
      <c r="AQ34" s="235"/>
      <c r="AR34" s="261"/>
      <c r="AS34" s="261"/>
      <c r="AT34" s="261"/>
      <c r="AU34" s="261"/>
      <c r="AV34" s="261"/>
      <c r="AW34" s="261"/>
      <c r="AX34" s="261">
        <v>1</v>
      </c>
      <c r="AY34" s="262"/>
      <c r="AZ34" s="263"/>
      <c r="BA34" s="261">
        <v>1</v>
      </c>
      <c r="BB34" s="261">
        <v>3</v>
      </c>
      <c r="BC34" s="261"/>
      <c r="BD34" s="261"/>
      <c r="BE34" s="261"/>
      <c r="BF34" s="261"/>
      <c r="BG34" s="261"/>
      <c r="BH34" s="235"/>
      <c r="BI34" s="262">
        <v>4</v>
      </c>
      <c r="BJ34" s="264">
        <f>O34+U34</f>
        <v>0</v>
      </c>
      <c r="BK34" s="270">
        <f>BJ34*(AX34*'HARDWARE'!J4+BA34*'HARDWARE'!E6+BB34*'HARDWARE'!F7)</f>
        <v>0</v>
      </c>
    </row>
    <row r="35" ht="16.4" customHeight="1">
      <c r="A35" t="s" s="204">
        <v>108</v>
      </c>
      <c r="B35" t="s" s="205">
        <v>65</v>
      </c>
      <c r="C35" s="278">
        <v>1</v>
      </c>
      <c r="D35" s="238">
        <v>27</v>
      </c>
      <c r="E35" s="239"/>
      <c r="F35" s="240"/>
      <c r="G35" s="285"/>
      <c r="H35" s="242"/>
      <c r="I35" s="243"/>
      <c r="J35" s="244"/>
      <c r="K35" s="245"/>
      <c r="L35" s="246"/>
      <c r="M35" s="247"/>
      <c r="N35" s="248"/>
      <c r="O35" s="249">
        <f>E35+F35+G35+H35+I35+J35+K35+L35+M35+N35</f>
        <v>0</v>
      </c>
      <c r="P35" s="250"/>
      <c r="Q35" s="251"/>
      <c r="R35" s="252"/>
      <c r="S35" s="253"/>
      <c r="T35" s="254"/>
      <c r="U35" s="255">
        <f>P35+Q35+R35+S35+T35</f>
        <v>0</v>
      </c>
      <c r="V35" t="s" s="225">
        <v>66</v>
      </c>
      <c r="W35" s="256">
        <f>C35*BJ35</f>
        <v>0</v>
      </c>
      <c r="X35" s="257">
        <f>D35*O35+D35*U35*1.04</f>
        <v>0</v>
      </c>
      <c r="Y35" s="128"/>
      <c r="Z35" s="129"/>
      <c r="AA35" s="129"/>
      <c r="AB35" s="129"/>
      <c r="AC35" s="129"/>
      <c r="AD35" s="129"/>
      <c r="AE35" s="129"/>
      <c r="AF35" s="129"/>
      <c r="AG35" s="129"/>
      <c r="AH35" s="129"/>
      <c r="AI35" s="130"/>
      <c r="AJ35" s="258"/>
      <c r="AK35" s="259"/>
      <c r="AL35" s="259"/>
      <c r="AM35" s="259"/>
      <c r="AN35" s="259"/>
      <c r="AO35" s="260">
        <f>6*BJ35</f>
        <v>0</v>
      </c>
      <c r="AP35" s="256">
        <f>5.4*(U35+O35)</f>
        <v>0</v>
      </c>
      <c r="AQ35" s="235"/>
      <c r="AR35" s="261"/>
      <c r="AS35" s="261"/>
      <c r="AT35" s="261"/>
      <c r="AU35" s="261"/>
      <c r="AV35" s="261"/>
      <c r="AW35" s="261"/>
      <c r="AX35" s="261">
        <v>6</v>
      </c>
      <c r="AY35" s="262"/>
      <c r="AZ35" s="263"/>
      <c r="BA35" s="261"/>
      <c r="BB35" s="261"/>
      <c r="BC35" s="261">
        <v>6</v>
      </c>
      <c r="BD35" s="261"/>
      <c r="BE35" s="261"/>
      <c r="BF35" s="261"/>
      <c r="BG35" s="261"/>
      <c r="BH35" s="235"/>
      <c r="BI35" s="262">
        <v>5</v>
      </c>
      <c r="BJ35" s="270">
        <f>O35+U35</f>
        <v>0</v>
      </c>
      <c r="BK35" s="270">
        <f>BJ35*(AX35*'HARDWARE'!J4+BC35*'HARDWARE'!F7)</f>
        <v>0</v>
      </c>
    </row>
    <row r="36" ht="16.4" customHeight="1">
      <c r="A36" t="s" s="204">
        <v>109</v>
      </c>
      <c r="B36" t="s" s="205">
        <v>72</v>
      </c>
      <c r="C36" s="237">
        <v>6</v>
      </c>
      <c r="D36" s="238">
        <v>95.59999999999999</v>
      </c>
      <c r="E36" s="239"/>
      <c r="F36" s="240"/>
      <c r="G36" s="285"/>
      <c r="H36" s="242"/>
      <c r="I36" s="243"/>
      <c r="J36" s="244"/>
      <c r="K36" s="245"/>
      <c r="L36" s="246"/>
      <c r="M36" s="247"/>
      <c r="N36" s="248"/>
      <c r="O36" s="249">
        <f>E36+F36+G36+H36+I36+J36+K36+L36+M36+N36</f>
        <v>0</v>
      </c>
      <c r="P36" s="250"/>
      <c r="Q36" s="251"/>
      <c r="R36" s="252"/>
      <c r="S36" s="253"/>
      <c r="T36" s="254"/>
      <c r="U36" s="255">
        <f>P36+Q36+R36+S36+T36</f>
        <v>0</v>
      </c>
      <c r="V36" t="s" s="225">
        <v>66</v>
      </c>
      <c r="W36" s="256">
        <f>C36*BJ36</f>
        <v>0</v>
      </c>
      <c r="X36" s="257">
        <f>D36*O36+D36*U36*1.04</f>
        <v>0</v>
      </c>
      <c r="Y36" s="128"/>
      <c r="Z36" s="129">
        <f>U36*4</f>
        <v>0</v>
      </c>
      <c r="AA36" s="129">
        <f>U36*8</f>
        <v>0</v>
      </c>
      <c r="AB36" s="129"/>
      <c r="AC36" s="129"/>
      <c r="AD36" s="129"/>
      <c r="AE36" s="129"/>
      <c r="AF36" s="129"/>
      <c r="AG36" s="129"/>
      <c r="AH36" s="129"/>
      <c r="AI36" s="130"/>
      <c r="AJ36" s="258"/>
      <c r="AK36" s="259"/>
      <c r="AL36" s="259">
        <f>4*BJ36</f>
        <v>0</v>
      </c>
      <c r="AM36" s="259">
        <f>7*BJ36</f>
        <v>0</v>
      </c>
      <c r="AN36" s="259">
        <f>5*BJ36</f>
        <v>0</v>
      </c>
      <c r="AO36" s="265"/>
      <c r="AP36" s="258">
        <f>10.3*(U36+O36)</f>
        <v>0</v>
      </c>
      <c r="AQ36" s="266"/>
      <c r="AR36" s="267"/>
      <c r="AS36" s="267">
        <v>3</v>
      </c>
      <c r="AT36" s="267">
        <v>13</v>
      </c>
      <c r="AU36" s="267"/>
      <c r="AV36" s="267"/>
      <c r="AW36" s="267"/>
      <c r="AX36" s="267"/>
      <c r="AY36" s="268"/>
      <c r="AZ36" s="269"/>
      <c r="BA36" s="267">
        <v>8</v>
      </c>
      <c r="BB36" s="267">
        <v>8</v>
      </c>
      <c r="BC36" s="267"/>
      <c r="BD36" s="267"/>
      <c r="BE36" s="267"/>
      <c r="BF36" s="267"/>
      <c r="BG36" s="267"/>
      <c r="BH36" s="266"/>
      <c r="BI36" s="268">
        <v>4</v>
      </c>
      <c r="BJ36" s="264">
        <f>O36+U36</f>
        <v>0</v>
      </c>
      <c r="BK36" s="270">
        <f>BJ36*(AS36*'HARDWARE'!E4+AT36*'HARDWARE'!F4+BA36*'HARDWARE'!D6+BB36*'HARDWARE'!E6)</f>
        <v>0</v>
      </c>
    </row>
    <row r="37" ht="16.4" customHeight="1">
      <c r="A37" t="s" s="204">
        <v>110</v>
      </c>
      <c r="B37" t="s" s="205">
        <v>111</v>
      </c>
      <c r="C37" s="237">
        <v>12</v>
      </c>
      <c r="D37" s="238">
        <v>109.5</v>
      </c>
      <c r="E37" s="239"/>
      <c r="F37" s="240"/>
      <c r="G37" s="241"/>
      <c r="H37" s="242"/>
      <c r="I37" s="243"/>
      <c r="J37" s="244"/>
      <c r="K37" s="245"/>
      <c r="L37" s="246"/>
      <c r="M37" s="247"/>
      <c r="N37" s="248"/>
      <c r="O37" s="249">
        <f>E37+F37+G37+H37+I37+J37+K37+L37+M37+N37</f>
        <v>0</v>
      </c>
      <c r="P37" s="250"/>
      <c r="Q37" s="251"/>
      <c r="R37" s="252"/>
      <c r="S37" s="253"/>
      <c r="T37" s="254"/>
      <c r="U37" s="255">
        <f>P37+Q37+R37+S37+T37</f>
        <v>0</v>
      </c>
      <c r="V37" t="s" s="225">
        <v>66</v>
      </c>
      <c r="W37" s="256">
        <f>C37*BJ37</f>
        <v>0</v>
      </c>
      <c r="X37" s="257">
        <f>D37*O37+D37*U37*1.04</f>
        <v>0</v>
      </c>
      <c r="Y37" s="128"/>
      <c r="Z37" s="129">
        <f>U37*1</f>
        <v>0</v>
      </c>
      <c r="AA37" s="129">
        <f>U37*7</f>
        <v>0</v>
      </c>
      <c r="AB37" s="129">
        <f>U37*2</f>
        <v>0</v>
      </c>
      <c r="AC37" s="129"/>
      <c r="AD37" s="129"/>
      <c r="AE37" s="129"/>
      <c r="AF37" s="129"/>
      <c r="AG37" s="129"/>
      <c r="AH37" s="129"/>
      <c r="AI37" s="130"/>
      <c r="AJ37" s="258">
        <f>5*BJ37</f>
        <v>0</v>
      </c>
      <c r="AK37" s="259">
        <f>1*BJ37</f>
        <v>0</v>
      </c>
      <c r="AL37" s="259">
        <f>2*BJ37</f>
        <v>0</v>
      </c>
      <c r="AM37" s="259">
        <f>3*BJ37</f>
        <v>0</v>
      </c>
      <c r="AN37" s="259"/>
      <c r="AO37" s="260">
        <f>1*BJ37</f>
        <v>0</v>
      </c>
      <c r="AP37" s="256">
        <f>10.3*(U37+O37)</f>
        <v>0</v>
      </c>
      <c r="AQ37" s="235"/>
      <c r="AR37" s="261"/>
      <c r="AS37" s="261">
        <v>3</v>
      </c>
      <c r="AT37" s="261">
        <v>1</v>
      </c>
      <c r="AU37" s="261">
        <v>3</v>
      </c>
      <c r="AV37" s="261"/>
      <c r="AW37" s="261"/>
      <c r="AX37" s="261"/>
      <c r="AY37" s="262"/>
      <c r="AZ37" s="263"/>
      <c r="BA37" s="261">
        <v>14</v>
      </c>
      <c r="BB37" s="261">
        <v>1</v>
      </c>
      <c r="BC37" s="261"/>
      <c r="BD37" s="261"/>
      <c r="BE37" s="261"/>
      <c r="BF37" s="261"/>
      <c r="BG37" s="261"/>
      <c r="BH37" s="235"/>
      <c r="BI37" s="262">
        <v>5</v>
      </c>
      <c r="BJ37" s="270">
        <f>O37+U37</f>
        <v>0</v>
      </c>
      <c r="BK37" s="270">
        <f>BJ37*(AS37*'HARDWARE'!E4+AT37*'HARDWARE'!F4+AU37*'HARDWARE'!G5+BA37*'HARDWARE'!D7+BB37*'HARDWARE'!E7)</f>
        <v>0</v>
      </c>
    </row>
    <row r="38" ht="16.4" customHeight="1">
      <c r="A38" t="s" s="204">
        <v>112</v>
      </c>
      <c r="B38" t="s" s="205">
        <v>111</v>
      </c>
      <c r="C38" s="278">
        <v>1</v>
      </c>
      <c r="D38" s="238">
        <v>55.4</v>
      </c>
      <c r="E38" s="239"/>
      <c r="F38" s="240"/>
      <c r="G38" s="241"/>
      <c r="H38" s="242"/>
      <c r="I38" s="243"/>
      <c r="J38" s="244"/>
      <c r="K38" s="245"/>
      <c r="L38" s="246"/>
      <c r="M38" s="247"/>
      <c r="N38" s="248"/>
      <c r="O38" s="249">
        <f>E38+F38+G38+H38+I38+J38+K38+L38+M38+N38</f>
        <v>0</v>
      </c>
      <c r="P38" s="250"/>
      <c r="Q38" s="251"/>
      <c r="R38" s="252"/>
      <c r="S38" s="253"/>
      <c r="T38" s="254"/>
      <c r="U38" s="255">
        <f>P38+Q38+R38+S38+T38</f>
        <v>0</v>
      </c>
      <c r="V38" t="s" s="225">
        <v>66</v>
      </c>
      <c r="W38" s="256">
        <f>C38*BJ38</f>
        <v>0</v>
      </c>
      <c r="X38" s="257">
        <f>D38*O38+D38*U38*1.04</f>
        <v>0</v>
      </c>
      <c r="Y38" s="128"/>
      <c r="Z38" s="129">
        <f>U38*4</f>
        <v>0</v>
      </c>
      <c r="AA38" s="129">
        <f>U38*5</f>
        <v>0</v>
      </c>
      <c r="AB38" s="129">
        <f>U38*1</f>
        <v>0</v>
      </c>
      <c r="AC38" s="129"/>
      <c r="AD38" s="129"/>
      <c r="AE38" s="129"/>
      <c r="AF38" s="129"/>
      <c r="AG38" s="129"/>
      <c r="AH38" s="129"/>
      <c r="AI38" s="130"/>
      <c r="AJ38" s="258"/>
      <c r="AK38" s="259"/>
      <c r="AL38" s="259"/>
      <c r="AM38" s="259"/>
      <c r="AN38" s="259"/>
      <c r="AO38" s="260">
        <f>1*BJ38</f>
        <v>0</v>
      </c>
      <c r="AP38" s="256">
        <f>4.2*(U38+O38)</f>
        <v>0</v>
      </c>
      <c r="AQ38" s="235"/>
      <c r="AR38" s="261"/>
      <c r="AS38" s="261"/>
      <c r="AT38" s="261"/>
      <c r="AU38" s="261"/>
      <c r="AV38" s="261"/>
      <c r="AW38" s="261"/>
      <c r="AX38" s="261">
        <v>1</v>
      </c>
      <c r="AY38" s="262"/>
      <c r="AZ38" s="263"/>
      <c r="BA38" s="261"/>
      <c r="BB38" s="261">
        <v>1</v>
      </c>
      <c r="BC38" s="261">
        <v>1</v>
      </c>
      <c r="BD38" s="261"/>
      <c r="BE38" s="261"/>
      <c r="BF38" s="261"/>
      <c r="BG38" s="261"/>
      <c r="BH38" s="235"/>
      <c r="BI38" s="262">
        <v>4</v>
      </c>
      <c r="BJ38" s="264">
        <f>O38+U38</f>
        <v>0</v>
      </c>
      <c r="BK38" s="270">
        <f>BJ38*(AX38*'HARDWARE'!J4+BB38*'HARDWARE'!E6+BC38*'HARDWARE'!F7)</f>
        <v>0</v>
      </c>
    </row>
    <row r="39" ht="17" customHeight="1">
      <c r="A39" t="s" s="204">
        <v>113</v>
      </c>
      <c r="B39" t="s" s="205">
        <v>81</v>
      </c>
      <c r="C39" s="237">
        <v>16</v>
      </c>
      <c r="D39" s="238">
        <v>114</v>
      </c>
      <c r="E39" s="239"/>
      <c r="F39" s="240"/>
      <c r="G39" s="241"/>
      <c r="H39" s="242"/>
      <c r="I39" s="243"/>
      <c r="J39" s="244"/>
      <c r="K39" s="245"/>
      <c r="L39" s="246"/>
      <c r="M39" s="247"/>
      <c r="N39" s="248"/>
      <c r="O39" s="249">
        <f>E39+F39+G39+H39+I39+J39+K39+L39+M39+N39</f>
        <v>0</v>
      </c>
      <c r="P39" s="250"/>
      <c r="Q39" s="251"/>
      <c r="R39" s="286"/>
      <c r="S39" s="253"/>
      <c r="T39" s="254"/>
      <c r="U39" s="255">
        <f>P39+Q39+R39+S39+T39</f>
        <v>0</v>
      </c>
      <c r="V39" t="s" s="225">
        <v>66</v>
      </c>
      <c r="W39" s="256">
        <f>C39*BJ39</f>
        <v>0</v>
      </c>
      <c r="X39" s="257">
        <f>D39*O39+D39*U39*1.04</f>
        <v>0</v>
      </c>
      <c r="Y39" s="128"/>
      <c r="Z39" s="129">
        <f>U39*5</f>
        <v>0</v>
      </c>
      <c r="AA39" s="129">
        <f>U39*17</f>
        <v>0</v>
      </c>
      <c r="AB39" s="129">
        <f>U39*6</f>
        <v>0</v>
      </c>
      <c r="AC39" s="129">
        <f>U39*2</f>
        <v>0</v>
      </c>
      <c r="AD39" s="129"/>
      <c r="AE39" s="129"/>
      <c r="AF39" s="129"/>
      <c r="AG39" s="129"/>
      <c r="AH39" s="129"/>
      <c r="AI39" s="130"/>
      <c r="AJ39" s="258"/>
      <c r="AK39" s="259"/>
      <c r="AL39" s="259">
        <f>10*BJ39</f>
        <v>0</v>
      </c>
      <c r="AM39" s="259">
        <f>6*BJ39</f>
        <v>0</v>
      </c>
      <c r="AN39" s="259"/>
      <c r="AO39" s="265"/>
      <c r="AP39" s="258">
        <f>8.9*(U39+O39)</f>
        <v>0</v>
      </c>
      <c r="AQ39" s="266"/>
      <c r="AR39" s="267"/>
      <c r="AS39" s="267">
        <v>7</v>
      </c>
      <c r="AT39" s="267">
        <v>7</v>
      </c>
      <c r="AU39" s="267">
        <v>1</v>
      </c>
      <c r="AV39" s="267"/>
      <c r="AW39" s="267"/>
      <c r="AX39" s="267">
        <v>1</v>
      </c>
      <c r="AY39" s="268"/>
      <c r="AZ39" s="269"/>
      <c r="BA39" s="267"/>
      <c r="BB39" s="267">
        <v>8</v>
      </c>
      <c r="BC39" s="267">
        <v>6</v>
      </c>
      <c r="BD39" s="267"/>
      <c r="BE39" s="267">
        <v>2</v>
      </c>
      <c r="BF39" s="267"/>
      <c r="BG39" s="267"/>
      <c r="BH39" s="266"/>
      <c r="BI39" t="s" s="279">
        <v>79</v>
      </c>
      <c r="BJ39" s="270">
        <f>O39+U39</f>
        <v>0</v>
      </c>
      <c r="BK39" s="270">
        <f>BJ39*(AS39*'HARDWARE'!E4+AT39*'HARDWARE'!F4+AU39*'HARDWARE'!G5+AX39*'HARDWARE'!J4+BB39*'HARDWARE'!E7+BC39*'HARDWARE'!F7+BE39*'HARDWARE'!H7)</f>
        <v>0</v>
      </c>
    </row>
    <row r="40" ht="16.4" customHeight="1">
      <c r="A40" t="s" s="204">
        <v>114</v>
      </c>
      <c r="B40" t="s" s="205">
        <v>68</v>
      </c>
      <c r="C40" s="287">
        <v>1</v>
      </c>
      <c r="D40" s="288">
        <v>16.6</v>
      </c>
      <c r="E40" s="289"/>
      <c r="F40" s="290"/>
      <c r="G40" s="291"/>
      <c r="H40" s="292"/>
      <c r="I40" s="293"/>
      <c r="J40" s="294"/>
      <c r="K40" s="295"/>
      <c r="L40" s="246"/>
      <c r="M40" s="296"/>
      <c r="N40" s="185"/>
      <c r="O40" s="297">
        <f>E40+F40+G40+H40+I40+J40+K40+L40+M40+N40</f>
        <v>0</v>
      </c>
      <c r="P40" s="298"/>
      <c r="Q40" s="299"/>
      <c r="R40" s="300"/>
      <c r="S40" s="301"/>
      <c r="T40" s="302"/>
      <c r="U40" s="303">
        <f>P40+Q40+R40+S40+T40</f>
        <v>0</v>
      </c>
      <c r="V40" t="s" s="304">
        <v>66</v>
      </c>
      <c r="W40" s="305">
        <f>C40*BJ40</f>
        <v>0</v>
      </c>
      <c r="X40" s="306">
        <f>D40*O40+D40*U40*1.04</f>
        <v>0</v>
      </c>
      <c r="Y40" s="128"/>
      <c r="Z40" s="129"/>
      <c r="AA40" s="129">
        <f>U40*7</f>
        <v>0</v>
      </c>
      <c r="AB40" s="129">
        <f>U40*1</f>
        <v>0</v>
      </c>
      <c r="AC40" s="129"/>
      <c r="AD40" s="129"/>
      <c r="AE40" s="129"/>
      <c r="AF40" s="129"/>
      <c r="AG40" s="129"/>
      <c r="AH40" s="129"/>
      <c r="AI40" s="130"/>
      <c r="AJ40" s="307"/>
      <c r="AK40" s="308"/>
      <c r="AL40" s="308"/>
      <c r="AM40" s="308"/>
      <c r="AN40" s="308"/>
      <c r="AO40" s="309">
        <f>1*BJ40</f>
        <v>0</v>
      </c>
      <c r="AP40" s="305">
        <f>1.5*(U40+O40)</f>
        <v>0</v>
      </c>
      <c r="AQ40" s="310"/>
      <c r="AR40" s="311"/>
      <c r="AS40" s="311"/>
      <c r="AT40" s="311"/>
      <c r="AU40" s="311"/>
      <c r="AV40" s="311">
        <v>1</v>
      </c>
      <c r="AW40" s="311"/>
      <c r="AX40" s="311"/>
      <c r="AY40" s="312"/>
      <c r="AZ40" s="313"/>
      <c r="BA40" s="311">
        <v>1</v>
      </c>
      <c r="BB40" s="311"/>
      <c r="BC40" s="311"/>
      <c r="BD40" s="311"/>
      <c r="BE40" s="311"/>
      <c r="BF40" s="311"/>
      <c r="BG40" s="311"/>
      <c r="BH40" s="310"/>
      <c r="BI40" s="312">
        <v>4</v>
      </c>
      <c r="BJ40" s="314">
        <f>O40+U40</f>
        <v>0</v>
      </c>
      <c r="BK40" s="315">
        <f>BJ40*(AV40*'HARDWARE'!H4+BA40*'HARDWARE'!D6)</f>
        <v>0</v>
      </c>
    </row>
    <row r="41" ht="39.15" customHeight="1">
      <c r="A41" t="s" s="316">
        <v>115</v>
      </c>
      <c r="B41" s="317"/>
      <c r="C41" s="107"/>
      <c r="D41" s="12"/>
      <c r="E41" s="107"/>
      <c r="F41" s="12"/>
      <c r="G41" s="12"/>
      <c r="H41" s="12"/>
      <c r="I41" s="12"/>
      <c r="J41" s="12"/>
      <c r="K41" s="12"/>
      <c r="L41" s="45"/>
      <c r="M41" s="12"/>
      <c r="N41" s="12"/>
      <c r="O41" s="12"/>
      <c r="P41" s="12"/>
      <c r="Q41" s="12"/>
      <c r="R41" s="12"/>
      <c r="S41" s="12"/>
      <c r="T41" s="12"/>
      <c r="U41" s="12"/>
      <c r="V41" s="45"/>
      <c r="W41" s="12"/>
      <c r="X41" s="14"/>
      <c r="Y41" s="128"/>
      <c r="Z41" s="129"/>
      <c r="AA41" s="129"/>
      <c r="AB41" s="129"/>
      <c r="AC41" s="129"/>
      <c r="AD41" s="129"/>
      <c r="AE41" s="129"/>
      <c r="AF41" s="129"/>
      <c r="AG41" s="129"/>
      <c r="AH41" s="129"/>
      <c r="AI41" s="130"/>
      <c r="AJ41" s="113"/>
      <c r="AK41" s="110"/>
      <c r="AL41" s="110"/>
      <c r="AM41" s="110"/>
      <c r="AN41" s="110"/>
      <c r="AO41" s="110"/>
      <c r="AP41" s="111"/>
      <c r="AQ41" s="318"/>
      <c r="AR41" s="199">
        <v>40</v>
      </c>
      <c r="AS41" s="199">
        <v>50</v>
      </c>
      <c r="AT41" s="199">
        <v>60</v>
      </c>
      <c r="AU41" s="199">
        <v>70</v>
      </c>
      <c r="AV41" s="199">
        <v>80</v>
      </c>
      <c r="AW41" s="199">
        <v>90</v>
      </c>
      <c r="AX41" s="199">
        <v>100</v>
      </c>
      <c r="AY41" s="200">
        <v>120</v>
      </c>
      <c r="AZ41" s="201">
        <v>30</v>
      </c>
      <c r="BA41" s="199">
        <v>40</v>
      </c>
      <c r="BB41" s="199">
        <v>50</v>
      </c>
      <c r="BC41" s="199">
        <v>60</v>
      </c>
      <c r="BD41" s="199">
        <v>70</v>
      </c>
      <c r="BE41" s="199">
        <v>80</v>
      </c>
      <c r="BF41" s="199">
        <v>90</v>
      </c>
      <c r="BG41" s="200">
        <v>100</v>
      </c>
      <c r="BH41" s="318"/>
      <c r="BI41" t="s" s="203">
        <v>116</v>
      </c>
      <c r="BJ41" t="s" s="119">
        <v>35</v>
      </c>
      <c r="BK41" t="s" s="120">
        <v>36</v>
      </c>
    </row>
    <row r="42" ht="18.05" customHeight="1">
      <c r="A42" t="s" s="280">
        <v>117</v>
      </c>
      <c r="B42" t="s" s="319">
        <v>72</v>
      </c>
      <c r="C42" s="320">
        <v>2</v>
      </c>
      <c r="D42" s="207">
        <v>20.67</v>
      </c>
      <c r="E42" s="208"/>
      <c r="F42" s="209"/>
      <c r="G42" s="210"/>
      <c r="H42" s="211"/>
      <c r="I42" s="212"/>
      <c r="J42" s="213"/>
      <c r="K42" s="214"/>
      <c r="L42" s="215"/>
      <c r="M42" s="216"/>
      <c r="N42" s="217"/>
      <c r="O42" s="218">
        <f>E42+F42+G42+H42+I42+J42+K42+L42+M42+N42</f>
        <v>0</v>
      </c>
      <c r="P42" s="219"/>
      <c r="Q42" s="220"/>
      <c r="R42" s="221"/>
      <c r="S42" s="222"/>
      <c r="T42" s="223"/>
      <c r="U42" s="224">
        <f>P42+Q42+R42+S42+T42</f>
        <v>0</v>
      </c>
      <c r="V42" s="321"/>
      <c r="W42" s="226">
        <f>C42*BJ42</f>
        <v>0</v>
      </c>
      <c r="X42" s="227">
        <f>D42*O42+D42*U42*1.04+V42*1.15*D42</f>
        <v>0</v>
      </c>
      <c r="Y42" s="128"/>
      <c r="Z42" s="129"/>
      <c r="AA42" s="129"/>
      <c r="AB42" s="129"/>
      <c r="AC42" s="129"/>
      <c r="AD42" s="129">
        <f>U42*1</f>
        <v>0</v>
      </c>
      <c r="AE42" s="129">
        <f>U42*3</f>
        <v>0</v>
      </c>
      <c r="AF42" s="129"/>
      <c r="AG42" s="129"/>
      <c r="AH42" s="129"/>
      <c r="AI42" s="130">
        <f>U42*1</f>
        <v>0</v>
      </c>
      <c r="AJ42" s="228"/>
      <c r="AK42" s="229"/>
      <c r="AL42" s="229">
        <f>2*BJ42</f>
        <v>0</v>
      </c>
      <c r="AM42" s="229"/>
      <c r="AN42" s="229"/>
      <c r="AO42" s="230"/>
      <c r="AP42" s="228">
        <f>0.72*BJ42</f>
        <v>0</v>
      </c>
      <c r="AQ42" s="198"/>
      <c r="AR42" s="232"/>
      <c r="AS42" s="322">
        <v>2</v>
      </c>
      <c r="AT42" s="322"/>
      <c r="AU42" s="322"/>
      <c r="AV42" s="322"/>
      <c r="AW42" s="322"/>
      <c r="AX42" s="322"/>
      <c r="AY42" s="323"/>
      <c r="AZ42" s="324"/>
      <c r="BA42" s="322">
        <v>6</v>
      </c>
      <c r="BB42" s="322"/>
      <c r="BC42" s="322"/>
      <c r="BD42" s="322"/>
      <c r="BE42" s="322"/>
      <c r="BF42" s="322"/>
      <c r="BG42" s="322"/>
      <c r="BH42" s="325"/>
      <c r="BI42" s="323">
        <v>4</v>
      </c>
      <c r="BJ42" s="326">
        <f>O42+U42+V42</f>
        <v>0</v>
      </c>
      <c r="BK42" s="236">
        <f>BJ42*(AS42*'HARDWARE'!E4+BA42*'HARDWARE'!D6)</f>
        <v>0</v>
      </c>
    </row>
    <row r="43" ht="18.05" customHeight="1">
      <c r="A43" t="s" s="281">
        <v>118</v>
      </c>
      <c r="B43" t="s" s="327">
        <v>119</v>
      </c>
      <c r="C43" s="278">
        <v>10</v>
      </c>
      <c r="D43" s="238">
        <v>84.33</v>
      </c>
      <c r="E43" s="239"/>
      <c r="F43" s="240"/>
      <c r="G43" s="241"/>
      <c r="H43" s="242"/>
      <c r="I43" s="243"/>
      <c r="J43" s="244"/>
      <c r="K43" s="245"/>
      <c r="L43" s="246"/>
      <c r="M43" s="247"/>
      <c r="N43" s="248"/>
      <c r="O43" s="249">
        <f>E43+F43+G43+H43+I43+J43+K43+L43+M43+N43</f>
        <v>0</v>
      </c>
      <c r="P43" s="250"/>
      <c r="Q43" s="251"/>
      <c r="R43" s="252"/>
      <c r="S43" s="253"/>
      <c r="T43" s="254"/>
      <c r="U43" s="255">
        <f>P43+Q43+R43+S43+T43</f>
        <v>0</v>
      </c>
      <c r="V43" s="328"/>
      <c r="W43" s="256">
        <f>C43*BJ43</f>
        <v>0</v>
      </c>
      <c r="X43" s="257">
        <f>D43*O43+D43*U43*1.04+V43*1.15*D43</f>
        <v>0</v>
      </c>
      <c r="Y43" s="128"/>
      <c r="Z43" s="129"/>
      <c r="AA43" s="129"/>
      <c r="AB43" s="129"/>
      <c r="AC43" s="129"/>
      <c r="AD43" s="129">
        <f>U43*1</f>
        <v>0</v>
      </c>
      <c r="AE43" s="129"/>
      <c r="AF43" s="129"/>
      <c r="AG43" s="129"/>
      <c r="AH43" s="129"/>
      <c r="AI43" s="130"/>
      <c r="AJ43" s="258"/>
      <c r="AK43" s="259">
        <f>4*BJ43</f>
        <v>0</v>
      </c>
      <c r="AL43" s="259">
        <f>2*BJ43</f>
        <v>0</v>
      </c>
      <c r="AM43" s="259">
        <f>3*BJ43</f>
        <v>0</v>
      </c>
      <c r="AN43" s="259">
        <f>1*BJ43</f>
        <v>0</v>
      </c>
      <c r="AO43" s="265"/>
      <c r="AP43" s="258">
        <f>2*BJ43</f>
        <v>0</v>
      </c>
      <c r="AQ43" s="231"/>
      <c r="AR43" s="267"/>
      <c r="AS43" s="329">
        <v>1</v>
      </c>
      <c r="AT43" s="329"/>
      <c r="AU43" s="329"/>
      <c r="AV43" s="329"/>
      <c r="AW43" s="329"/>
      <c r="AX43" s="329"/>
      <c r="AY43" s="330"/>
      <c r="AZ43" s="331">
        <v>8</v>
      </c>
      <c r="BA43" s="329">
        <v>24</v>
      </c>
      <c r="BB43" s="329">
        <v>2</v>
      </c>
      <c r="BC43" s="329">
        <v>1</v>
      </c>
      <c r="BD43" s="329"/>
      <c r="BE43" s="329"/>
      <c r="BF43" s="329"/>
      <c r="BG43" s="329"/>
      <c r="BH43" s="332"/>
      <c r="BI43" s="330">
        <v>5</v>
      </c>
      <c r="BJ43" s="264">
        <f>O43+U43+V43</f>
        <v>0</v>
      </c>
      <c r="BK43" s="270">
        <f>BJ43*(AS43*'HARDWARE'!E4+AZ43*'HARDWARE'!C7+BA43*'HARDWARE'!D7+BB43*'HARDWARE'!E7+BC43*'HARDWARE'!F7)</f>
        <v>0</v>
      </c>
    </row>
    <row r="44" ht="21.55" customHeight="1">
      <c r="A44" t="s" s="333">
        <v>120</v>
      </c>
      <c r="B44" t="s" s="319">
        <v>70</v>
      </c>
      <c r="C44" s="237">
        <v>30</v>
      </c>
      <c r="D44" s="238">
        <v>58.33</v>
      </c>
      <c r="E44" s="239"/>
      <c r="F44" s="240"/>
      <c r="G44" s="241"/>
      <c r="H44" s="242"/>
      <c r="I44" s="243"/>
      <c r="J44" s="244"/>
      <c r="K44" s="245"/>
      <c r="L44" s="246"/>
      <c r="M44" s="247"/>
      <c r="N44" s="248"/>
      <c r="O44" s="249">
        <f>E44+F44+G44+H44+I44+J44+K44+L44+M44+N44</f>
        <v>0</v>
      </c>
      <c r="P44" s="250"/>
      <c r="Q44" s="251"/>
      <c r="R44" s="252"/>
      <c r="S44" s="253"/>
      <c r="T44" s="254"/>
      <c r="U44" s="255">
        <f>P44+Q44+R44+S44+T44</f>
        <v>0</v>
      </c>
      <c r="V44" s="328"/>
      <c r="W44" s="256">
        <f>C44*BJ44</f>
        <v>0</v>
      </c>
      <c r="X44" s="257">
        <f>D44*O44+D44*U44*1.04+V44*1.15*D44</f>
        <v>0</v>
      </c>
      <c r="Y44" s="128"/>
      <c r="Z44" s="129"/>
      <c r="AA44" s="129">
        <f>U44*2</f>
        <v>0</v>
      </c>
      <c r="AB44" s="129">
        <f>U44*1</f>
        <v>0</v>
      </c>
      <c r="AC44" s="129">
        <f>U44*1</f>
        <v>0</v>
      </c>
      <c r="AD44" s="129">
        <f>U44*1</f>
        <v>0</v>
      </c>
      <c r="AE44" s="129"/>
      <c r="AF44" s="129"/>
      <c r="AG44" s="129"/>
      <c r="AH44" s="129"/>
      <c r="AI44" s="130"/>
      <c r="AJ44" s="258">
        <f>30*BJ44</f>
        <v>0</v>
      </c>
      <c r="AK44" s="259"/>
      <c r="AL44" s="259"/>
      <c r="AM44" s="259"/>
      <c r="AN44" s="259"/>
      <c r="AO44" s="265"/>
      <c r="AP44" s="258">
        <f>1*BJ44</f>
        <v>0</v>
      </c>
      <c r="AQ44" s="266"/>
      <c r="AR44" s="329"/>
      <c r="AS44" s="329"/>
      <c r="AT44" s="329"/>
      <c r="AU44" s="329"/>
      <c r="AV44" s="329"/>
      <c r="AW44" s="329"/>
      <c r="AX44" s="329"/>
      <c r="AY44" s="330"/>
      <c r="AZ44" s="331">
        <v>43</v>
      </c>
      <c r="BA44" s="329">
        <v>19</v>
      </c>
      <c r="BB44" s="329"/>
      <c r="BC44" s="329"/>
      <c r="BD44" s="329"/>
      <c r="BE44" s="329"/>
      <c r="BF44" s="329"/>
      <c r="BG44" s="329"/>
      <c r="BH44" s="334"/>
      <c r="BI44" s="330">
        <v>5</v>
      </c>
      <c r="BJ44" s="270">
        <f>O44+U44+V44</f>
        <v>0</v>
      </c>
      <c r="BK44" s="270">
        <f>BJ44*(AZ44*'HARDWARE'!C7+BA44*'HARDWARE'!D7)</f>
        <v>0</v>
      </c>
    </row>
    <row r="45" ht="21.55" customHeight="1">
      <c r="A45" t="s" s="333">
        <v>121</v>
      </c>
      <c r="B45" t="s" s="319">
        <v>70</v>
      </c>
      <c r="C45" s="237">
        <v>16</v>
      </c>
      <c r="D45" s="238">
        <v>39.67</v>
      </c>
      <c r="E45" s="239"/>
      <c r="F45" s="240"/>
      <c r="G45" s="241"/>
      <c r="H45" s="242"/>
      <c r="I45" s="243"/>
      <c r="J45" s="244"/>
      <c r="K45" s="245"/>
      <c r="L45" s="246"/>
      <c r="M45" s="247"/>
      <c r="N45" s="248"/>
      <c r="O45" s="249">
        <f>E45+F45+G45+H45+I45+J45+K45+L45+M45+N45</f>
        <v>0</v>
      </c>
      <c r="P45" s="250"/>
      <c r="Q45" s="251"/>
      <c r="R45" s="252"/>
      <c r="S45" s="253"/>
      <c r="T45" s="254"/>
      <c r="U45" s="255">
        <f>P45+Q45+R45+S45+T45</f>
        <v>0</v>
      </c>
      <c r="V45" s="328"/>
      <c r="W45" s="256">
        <f>C45*BJ45</f>
        <v>0</v>
      </c>
      <c r="X45" s="257">
        <f>D45*O45+D45*U45*1.04+V45*1.15*D45</f>
        <v>0</v>
      </c>
      <c r="Y45" s="128"/>
      <c r="Z45" s="129"/>
      <c r="AA45" s="129">
        <f>U45*2</f>
        <v>0</v>
      </c>
      <c r="AB45" s="129"/>
      <c r="AC45" s="129"/>
      <c r="AD45" s="129">
        <f>U45*1</f>
        <v>0</v>
      </c>
      <c r="AE45" s="129"/>
      <c r="AF45" s="129"/>
      <c r="AG45" s="129"/>
      <c r="AH45" s="129"/>
      <c r="AI45" s="130"/>
      <c r="AJ45" s="258">
        <f>16*BJ45</f>
        <v>0</v>
      </c>
      <c r="AK45" s="259"/>
      <c r="AL45" s="259"/>
      <c r="AM45" s="259"/>
      <c r="AN45" s="259"/>
      <c r="AO45" s="265"/>
      <c r="AP45" s="258">
        <f>0.8*BJ45</f>
        <v>0</v>
      </c>
      <c r="AQ45" s="266"/>
      <c r="AR45" s="329"/>
      <c r="AS45" s="329"/>
      <c r="AT45" s="329"/>
      <c r="AU45" s="329"/>
      <c r="AV45" s="329"/>
      <c r="AW45" s="329"/>
      <c r="AX45" s="329"/>
      <c r="AY45" s="330"/>
      <c r="AZ45" s="331">
        <v>32</v>
      </c>
      <c r="BA45" s="329"/>
      <c r="BB45" s="329"/>
      <c r="BC45" s="329"/>
      <c r="BD45" s="329"/>
      <c r="BE45" s="329"/>
      <c r="BF45" s="329"/>
      <c r="BG45" s="329"/>
      <c r="BH45" s="334"/>
      <c r="BI45" s="330">
        <v>5</v>
      </c>
      <c r="BJ45" s="270">
        <f>O45+U45+V45</f>
        <v>0</v>
      </c>
      <c r="BK45" s="270">
        <f>AZ45*BJ45*'HARDWARE'!C7</f>
        <v>0</v>
      </c>
    </row>
    <row r="46" ht="33" customHeight="1">
      <c r="A46" t="s" s="333">
        <v>122</v>
      </c>
      <c r="B46" t="s" s="319">
        <v>119</v>
      </c>
      <c r="C46" s="237">
        <v>12</v>
      </c>
      <c r="D46" t="s" s="335">
        <v>76</v>
      </c>
      <c r="E46" s="239"/>
      <c r="F46" s="240"/>
      <c r="G46" s="241"/>
      <c r="H46" s="242"/>
      <c r="I46" s="243"/>
      <c r="J46" s="244"/>
      <c r="K46" s="245"/>
      <c r="L46" s="246"/>
      <c r="M46" s="247"/>
      <c r="N46" s="248"/>
      <c r="O46" s="249">
        <f>E46+F46+G46+H46+I46+J46+K46+L46+M46+N46</f>
        <v>0</v>
      </c>
      <c r="P46" s="250"/>
      <c r="Q46" s="251"/>
      <c r="R46" s="252"/>
      <c r="S46" s="253"/>
      <c r="T46" s="254"/>
      <c r="U46" s="255">
        <f>P46+Q46+R46+S46+T46</f>
        <v>0</v>
      </c>
      <c r="V46" s="328"/>
      <c r="W46" s="256">
        <f>C46*BJ46</f>
        <v>0</v>
      </c>
      <c r="X46" t="s" s="335">
        <v>76</v>
      </c>
      <c r="Y46" s="128"/>
      <c r="Z46" s="129"/>
      <c r="AA46" s="129">
        <f>U46*2</f>
        <v>0</v>
      </c>
      <c r="AB46" s="129"/>
      <c r="AC46" s="129"/>
      <c r="AD46" s="129">
        <f>U46*1</f>
        <v>0</v>
      </c>
      <c r="AE46" s="129"/>
      <c r="AF46" s="129"/>
      <c r="AG46" s="129"/>
      <c r="AH46" s="129"/>
      <c r="AI46" s="130"/>
      <c r="AJ46" s="258"/>
      <c r="AK46" s="259"/>
      <c r="AL46" s="259"/>
      <c r="AM46" s="259"/>
      <c r="AN46" s="259"/>
      <c r="AO46" s="265"/>
      <c r="AP46" s="336">
        <v>0</v>
      </c>
      <c r="AQ46" s="274"/>
      <c r="AR46" s="329"/>
      <c r="AS46" s="329"/>
      <c r="AT46" s="329"/>
      <c r="AU46" s="329"/>
      <c r="AV46" s="329"/>
      <c r="AW46" s="329"/>
      <c r="AX46" s="329"/>
      <c r="AY46" s="330"/>
      <c r="AZ46" s="331"/>
      <c r="BA46" s="329"/>
      <c r="BB46" s="329"/>
      <c r="BC46" s="329"/>
      <c r="BD46" s="329"/>
      <c r="BE46" s="329"/>
      <c r="BF46" s="329"/>
      <c r="BG46" s="329"/>
      <c r="BH46" s="334"/>
      <c r="BI46" s="330">
        <v>5</v>
      </c>
      <c r="BJ46" s="269">
        <f>O46+U46+V46</f>
        <v>0</v>
      </c>
      <c r="BK46" t="s" s="337">
        <v>77</v>
      </c>
    </row>
    <row r="47" ht="21.55" customHeight="1">
      <c r="A47" t="s" s="333">
        <v>123</v>
      </c>
      <c r="B47" t="s" s="319">
        <v>70</v>
      </c>
      <c r="C47" s="237">
        <v>14</v>
      </c>
      <c r="D47" s="238">
        <v>37.33</v>
      </c>
      <c r="E47" s="239"/>
      <c r="F47" s="240"/>
      <c r="G47" s="241"/>
      <c r="H47" s="242"/>
      <c r="I47" s="243"/>
      <c r="J47" s="244"/>
      <c r="K47" s="245"/>
      <c r="L47" s="246"/>
      <c r="M47" s="247"/>
      <c r="N47" s="248"/>
      <c r="O47" s="249">
        <f>E47+F47+G47+H47+I47+J47+K47+L47+M47+N47</f>
        <v>0</v>
      </c>
      <c r="P47" s="250"/>
      <c r="Q47" s="251"/>
      <c r="R47" s="252"/>
      <c r="S47" s="253"/>
      <c r="T47" s="254"/>
      <c r="U47" s="255">
        <f>P47+Q47+R47+S47+T47</f>
        <v>0</v>
      </c>
      <c r="V47" s="328"/>
      <c r="W47" s="256">
        <f>C47*BJ47</f>
        <v>0</v>
      </c>
      <c r="X47" s="257">
        <f>D47*O47+D47*U47*1.04+V47*1.15*D47</f>
        <v>0</v>
      </c>
      <c r="Y47" s="128"/>
      <c r="Z47" s="129"/>
      <c r="AA47" s="129">
        <f>U47*2</f>
        <v>0</v>
      </c>
      <c r="AB47" s="129"/>
      <c r="AC47" s="129"/>
      <c r="AD47" s="129">
        <f>U47*1</f>
        <v>0</v>
      </c>
      <c r="AE47" s="129"/>
      <c r="AF47" s="129"/>
      <c r="AG47" s="129"/>
      <c r="AH47" s="129"/>
      <c r="AI47" s="130"/>
      <c r="AJ47" s="258">
        <f>14*BJ47</f>
        <v>0</v>
      </c>
      <c r="AK47" s="259"/>
      <c r="AL47" s="259"/>
      <c r="AM47" s="259"/>
      <c r="AN47" s="259"/>
      <c r="AO47" s="265"/>
      <c r="AP47" s="258">
        <f>0.8*BJ47</f>
        <v>0</v>
      </c>
      <c r="AQ47" s="266"/>
      <c r="AR47" s="329"/>
      <c r="AS47" s="329"/>
      <c r="AT47" s="329"/>
      <c r="AU47" s="329"/>
      <c r="AV47" s="329"/>
      <c r="AW47" s="329"/>
      <c r="AX47" s="329"/>
      <c r="AY47" s="330"/>
      <c r="AZ47" s="331">
        <v>28</v>
      </c>
      <c r="BA47" s="329"/>
      <c r="BB47" s="329"/>
      <c r="BC47" s="329"/>
      <c r="BD47" s="329"/>
      <c r="BE47" s="329"/>
      <c r="BF47" s="329"/>
      <c r="BG47" s="329"/>
      <c r="BH47" s="334"/>
      <c r="BI47" s="330">
        <v>5</v>
      </c>
      <c r="BJ47" s="270">
        <f>O47+U47+V47</f>
        <v>0</v>
      </c>
      <c r="BK47" s="270">
        <f>AZ47*BJ47*'HARDWARE'!C7</f>
        <v>0</v>
      </c>
    </row>
    <row r="48" ht="18.05" customHeight="1">
      <c r="A48" t="s" s="283">
        <v>124</v>
      </c>
      <c r="B48" t="s" s="319">
        <v>72</v>
      </c>
      <c r="C48" s="278">
        <v>2</v>
      </c>
      <c r="D48" s="238">
        <v>21.33</v>
      </c>
      <c r="E48" s="239"/>
      <c r="F48" s="240"/>
      <c r="G48" s="241"/>
      <c r="H48" s="242"/>
      <c r="I48" s="243"/>
      <c r="J48" s="244"/>
      <c r="K48" s="245"/>
      <c r="L48" s="246"/>
      <c r="M48" s="247"/>
      <c r="N48" s="248"/>
      <c r="O48" s="249">
        <f>E48+F48+G48+H48+I48+J48+K48+L48+M48+N48</f>
        <v>0</v>
      </c>
      <c r="P48" s="250"/>
      <c r="Q48" s="251"/>
      <c r="R48" s="252"/>
      <c r="S48" s="253"/>
      <c r="T48" s="254"/>
      <c r="U48" s="255">
        <f>P48+Q48+R48+S48+T48</f>
        <v>0</v>
      </c>
      <c r="V48" s="328"/>
      <c r="W48" s="256">
        <f>C48*BJ48</f>
        <v>0</v>
      </c>
      <c r="X48" s="257">
        <f>D48*O48+D48*U48*1.04+V48*1.15*D48</f>
        <v>0</v>
      </c>
      <c r="Y48" s="128"/>
      <c r="Z48" s="129"/>
      <c r="AA48" s="129">
        <f>U48*2</f>
        <v>0</v>
      </c>
      <c r="AB48" s="129">
        <f>U48*6</f>
        <v>0</v>
      </c>
      <c r="AC48" s="129">
        <f>U48*6</f>
        <v>0</v>
      </c>
      <c r="AD48" s="129">
        <f>U48*1</f>
        <v>0</v>
      </c>
      <c r="AE48" s="129"/>
      <c r="AF48" s="129"/>
      <c r="AG48" s="129"/>
      <c r="AH48" s="129"/>
      <c r="AI48" s="130"/>
      <c r="AJ48" s="258"/>
      <c r="AK48" s="259"/>
      <c r="AL48" s="259"/>
      <c r="AM48" s="259">
        <f>2*BJ48</f>
        <v>0</v>
      </c>
      <c r="AN48" s="259"/>
      <c r="AO48" s="265"/>
      <c r="AP48" s="258">
        <f>0.68*BJ48</f>
        <v>0</v>
      </c>
      <c r="AQ48" s="266"/>
      <c r="AR48" s="329"/>
      <c r="AS48" s="329"/>
      <c r="AT48" s="329"/>
      <c r="AU48" s="329">
        <v>2</v>
      </c>
      <c r="AV48" s="329"/>
      <c r="AW48" s="329"/>
      <c r="AX48" s="329"/>
      <c r="AY48" s="330"/>
      <c r="AZ48" s="331"/>
      <c r="BA48" s="329"/>
      <c r="BB48" s="329"/>
      <c r="BC48" s="329"/>
      <c r="BD48" s="329"/>
      <c r="BE48" s="329"/>
      <c r="BF48" s="329"/>
      <c r="BG48" s="329"/>
      <c r="BH48" s="334"/>
      <c r="BI48" t="s" s="338">
        <v>83</v>
      </c>
      <c r="BJ48" s="264">
        <f>O48+U48+V48</f>
        <v>0</v>
      </c>
      <c r="BK48" s="270">
        <f>BJ48*(AU48*'HARDWARE'!G5)</f>
        <v>0</v>
      </c>
    </row>
    <row r="49" ht="17" customHeight="1">
      <c r="A49" t="s" s="204">
        <v>125</v>
      </c>
      <c r="B49" t="s" s="319">
        <v>72</v>
      </c>
      <c r="C49" s="237">
        <v>2</v>
      </c>
      <c r="D49" s="238">
        <v>60.83</v>
      </c>
      <c r="E49" s="239"/>
      <c r="F49" s="240"/>
      <c r="G49" s="241"/>
      <c r="H49" s="242"/>
      <c r="I49" s="243"/>
      <c r="J49" s="244"/>
      <c r="K49" s="245"/>
      <c r="L49" s="246"/>
      <c r="M49" s="247"/>
      <c r="N49" s="248"/>
      <c r="O49" s="249">
        <f>E49+F49+G49+H49+I49+J49+K49+L49+M49+N49</f>
        <v>0</v>
      </c>
      <c r="P49" s="250"/>
      <c r="Q49" s="251"/>
      <c r="R49" s="252"/>
      <c r="S49" s="253"/>
      <c r="T49" s="254"/>
      <c r="U49" s="255">
        <f>P49+Q49+R49+S49+T49</f>
        <v>0</v>
      </c>
      <c r="V49" s="328"/>
      <c r="W49" s="256">
        <f>C49*BJ49</f>
        <v>0</v>
      </c>
      <c r="X49" s="257">
        <f>D49*O49+D49*U49*1.04+V49*1.15*D49</f>
        <v>0</v>
      </c>
      <c r="Y49" s="128"/>
      <c r="Z49" s="129"/>
      <c r="AA49" s="129"/>
      <c r="AB49" s="129">
        <f>U49*1</f>
        <v>0</v>
      </c>
      <c r="AC49" s="129">
        <f>U49*2</f>
        <v>0</v>
      </c>
      <c r="AD49" s="129"/>
      <c r="AE49" s="129">
        <f>U49*2</f>
        <v>0</v>
      </c>
      <c r="AF49" s="129"/>
      <c r="AG49" s="129"/>
      <c r="AH49" s="129"/>
      <c r="AI49" s="130"/>
      <c r="AJ49" s="258"/>
      <c r="AK49" s="259"/>
      <c r="AL49" s="259"/>
      <c r="AM49" s="259"/>
      <c r="AN49" s="259"/>
      <c r="AO49" s="260">
        <f>2*BJ49</f>
        <v>0</v>
      </c>
      <c r="AP49" s="258">
        <f>2.4*BJ49</f>
        <v>0</v>
      </c>
      <c r="AQ49" s="235"/>
      <c r="AR49" s="339"/>
      <c r="AS49" s="339"/>
      <c r="AT49" s="339"/>
      <c r="AU49" s="339"/>
      <c r="AV49" s="339"/>
      <c r="AW49" s="339"/>
      <c r="AX49" s="339">
        <v>2</v>
      </c>
      <c r="AY49" s="340"/>
      <c r="AZ49" s="341"/>
      <c r="BA49" s="339"/>
      <c r="BB49" s="339"/>
      <c r="BC49" s="339"/>
      <c r="BD49" s="339"/>
      <c r="BE49" s="339"/>
      <c r="BF49" s="339"/>
      <c r="BG49" s="339"/>
      <c r="BH49" s="342"/>
      <c r="BI49" t="s" s="337">
        <v>83</v>
      </c>
      <c r="BJ49" s="270">
        <f>O49+U49+V49</f>
        <v>0</v>
      </c>
      <c r="BK49" s="270">
        <f>BJ49*(AX49*'HARDWARE'!J4)</f>
        <v>0</v>
      </c>
    </row>
    <row r="50" ht="15.2" customHeight="1">
      <c r="A50" t="s" s="280">
        <v>126</v>
      </c>
      <c r="B50" t="s" s="319">
        <v>68</v>
      </c>
      <c r="C50" s="237">
        <v>3</v>
      </c>
      <c r="D50" s="238">
        <v>65</v>
      </c>
      <c r="E50" s="239"/>
      <c r="F50" s="240"/>
      <c r="G50" s="241"/>
      <c r="H50" s="242"/>
      <c r="I50" s="243"/>
      <c r="J50" s="244"/>
      <c r="K50" s="245"/>
      <c r="L50" s="246"/>
      <c r="M50" s="247"/>
      <c r="N50" s="248"/>
      <c r="O50" s="249">
        <f>E50+F50+G50+H50+I50+J50+K50+L50+M50+N50</f>
        <v>0</v>
      </c>
      <c r="P50" s="250"/>
      <c r="Q50" s="251"/>
      <c r="R50" s="252"/>
      <c r="S50" s="253"/>
      <c r="T50" s="254"/>
      <c r="U50" s="255">
        <f>P50+Q50+R50+S50+T50</f>
        <v>0</v>
      </c>
      <c r="V50" s="328"/>
      <c r="W50" s="256">
        <f>C50*BJ50</f>
        <v>0</v>
      </c>
      <c r="X50" s="257">
        <f>D50*O50+D50*U50*1.04+V50*1.15*D50</f>
        <v>0</v>
      </c>
      <c r="Y50" s="343"/>
      <c r="Z50" s="344"/>
      <c r="AA50" s="344"/>
      <c r="AB50" s="344"/>
      <c r="AC50" s="344"/>
      <c r="AD50" s="344"/>
      <c r="AE50" s="344"/>
      <c r="AF50" s="344"/>
      <c r="AG50" s="344"/>
      <c r="AH50" s="344"/>
      <c r="AI50" s="345"/>
      <c r="AJ50" s="258"/>
      <c r="AK50" s="259"/>
      <c r="AL50" s="259"/>
      <c r="AM50" s="259"/>
      <c r="AN50" s="259">
        <f>3*BJ50</f>
        <v>0</v>
      </c>
      <c r="AO50" s="265"/>
      <c r="AP50" s="258">
        <f>3.1*BJ50</f>
        <v>0</v>
      </c>
      <c r="AQ50" s="266"/>
      <c r="AR50" s="329"/>
      <c r="AS50" s="329"/>
      <c r="AT50" s="329">
        <v>2</v>
      </c>
      <c r="AU50" s="329">
        <v>1</v>
      </c>
      <c r="AV50" s="329"/>
      <c r="AW50" s="329"/>
      <c r="AX50" s="329"/>
      <c r="AY50" s="330"/>
      <c r="AZ50" s="331"/>
      <c r="BA50" s="329">
        <v>5</v>
      </c>
      <c r="BB50" s="329">
        <v>2</v>
      </c>
      <c r="BC50" s="329"/>
      <c r="BD50" s="329"/>
      <c r="BE50" s="329"/>
      <c r="BF50" s="329"/>
      <c r="BG50" s="329"/>
      <c r="BH50" s="334"/>
      <c r="BI50" s="330">
        <v>4</v>
      </c>
      <c r="BJ50" s="264">
        <f>O50+U50+V50</f>
        <v>0</v>
      </c>
      <c r="BK50" s="270">
        <f>BJ50*(AT50*'HARDWARE'!F4+AU50*'HARDWARE'!G5+BA50*'HARDWARE'!D6+BB50*'HARDWARE'!E6)</f>
        <v>0</v>
      </c>
    </row>
    <row r="51" ht="15.2" customHeight="1">
      <c r="A51" t="s" s="281">
        <v>127</v>
      </c>
      <c r="B51" t="s" s="327">
        <v>119</v>
      </c>
      <c r="C51" s="237">
        <v>21</v>
      </c>
      <c r="D51" s="238">
        <v>63.5</v>
      </c>
      <c r="E51" s="239"/>
      <c r="F51" s="240"/>
      <c r="G51" s="241"/>
      <c r="H51" s="242"/>
      <c r="I51" s="243"/>
      <c r="J51" s="244"/>
      <c r="K51" s="245"/>
      <c r="L51" s="246"/>
      <c r="M51" s="247"/>
      <c r="N51" s="248"/>
      <c r="O51" s="249">
        <f>E51+F51+G51+H51+I51+J51+K51+L51+M51+N51</f>
        <v>0</v>
      </c>
      <c r="P51" s="250"/>
      <c r="Q51" s="251"/>
      <c r="R51" s="252"/>
      <c r="S51" s="253"/>
      <c r="T51" s="254"/>
      <c r="U51" s="255">
        <f>P51+Q51+R51+S51+T51</f>
        <v>0</v>
      </c>
      <c r="V51" s="328"/>
      <c r="W51" s="256">
        <f>C51*BJ51</f>
        <v>0</v>
      </c>
      <c r="X51" s="257">
        <f>D51*O51+D51*U51*1.04+V51*1.15*D51</f>
        <v>0</v>
      </c>
      <c r="Y51" s="343"/>
      <c r="Z51" s="344"/>
      <c r="AA51" s="344"/>
      <c r="AB51" s="344"/>
      <c r="AC51" s="344"/>
      <c r="AD51" s="344"/>
      <c r="AE51" s="344"/>
      <c r="AF51" s="344"/>
      <c r="AG51" s="344"/>
      <c r="AH51" s="344"/>
      <c r="AI51" s="345"/>
      <c r="AJ51" s="258"/>
      <c r="AK51" s="259">
        <f>21*BJ51</f>
        <v>0</v>
      </c>
      <c r="AL51" s="259"/>
      <c r="AM51" s="259"/>
      <c r="AN51" s="259"/>
      <c r="AO51" s="265"/>
      <c r="AP51" s="258">
        <f>1.4*BJ51</f>
        <v>0</v>
      </c>
      <c r="AQ51" s="266"/>
      <c r="AR51" s="329"/>
      <c r="AS51" s="329"/>
      <c r="AT51" s="329"/>
      <c r="AU51" s="329"/>
      <c r="AV51" s="329"/>
      <c r="AW51" s="329"/>
      <c r="AX51" s="329"/>
      <c r="AY51" s="330"/>
      <c r="AZ51" s="331">
        <v>48</v>
      </c>
      <c r="BA51" s="329">
        <v>15</v>
      </c>
      <c r="BB51" s="329"/>
      <c r="BC51" s="329"/>
      <c r="BD51" s="329"/>
      <c r="BE51" s="329"/>
      <c r="BF51" s="329"/>
      <c r="BG51" s="329"/>
      <c r="BH51" s="334"/>
      <c r="BI51" s="330">
        <v>5</v>
      </c>
      <c r="BJ51" s="264">
        <f>O51+U51+V51</f>
        <v>0</v>
      </c>
      <c r="BK51" s="270">
        <f>AZ51*BJ51*'HARDWARE'!C7+BA51*BJ51*'HARDWARE'!D7</f>
        <v>0</v>
      </c>
    </row>
    <row r="52" ht="18.05" customHeight="1">
      <c r="A52" t="s" s="283">
        <v>128</v>
      </c>
      <c r="B52" t="s" s="319">
        <v>68</v>
      </c>
      <c r="C52" s="237">
        <v>1</v>
      </c>
      <c r="D52" s="238">
        <v>27.83</v>
      </c>
      <c r="E52" s="239"/>
      <c r="F52" s="240"/>
      <c r="G52" s="241"/>
      <c r="H52" s="242"/>
      <c r="I52" s="243"/>
      <c r="J52" s="244"/>
      <c r="K52" s="245"/>
      <c r="L52" s="246"/>
      <c r="M52" s="247"/>
      <c r="N52" s="248"/>
      <c r="O52" s="249">
        <f>E52+F52+G52+H52+I52+J52+K52+L52+M52+N52</f>
        <v>0</v>
      </c>
      <c r="P52" s="250"/>
      <c r="Q52" s="251"/>
      <c r="R52" s="252"/>
      <c r="S52" s="253"/>
      <c r="T52" s="254"/>
      <c r="U52" s="255">
        <f>P52+Q52+R52+S52+T52</f>
        <v>0</v>
      </c>
      <c r="V52" s="328"/>
      <c r="W52" s="256">
        <f>C52*BJ52</f>
        <v>0</v>
      </c>
      <c r="X52" s="257">
        <f>D52*O52+D52*U52*1.04+V52*1.15*D52</f>
        <v>0</v>
      </c>
      <c r="Y52" s="128"/>
      <c r="Z52" s="129"/>
      <c r="AA52" s="129">
        <f>U79*1</f>
        <v>0</v>
      </c>
      <c r="AB52" s="129">
        <f>U79*9</f>
        <v>0</v>
      </c>
      <c r="AC52" s="129">
        <f>U52*5</f>
        <v>0</v>
      </c>
      <c r="AD52" s="129"/>
      <c r="AE52" s="129"/>
      <c r="AF52" s="129"/>
      <c r="AG52" s="129"/>
      <c r="AH52" s="129"/>
      <c r="AI52" s="130"/>
      <c r="AJ52" s="258"/>
      <c r="AK52" s="259"/>
      <c r="AL52" s="259"/>
      <c r="AM52" s="259"/>
      <c r="AN52" s="259"/>
      <c r="AO52" s="260">
        <f>1*BJ52</f>
        <v>0</v>
      </c>
      <c r="AP52" s="258">
        <f>1.5*BJ52</f>
        <v>0</v>
      </c>
      <c r="AQ52" s="235"/>
      <c r="AR52" s="339"/>
      <c r="AS52" s="339">
        <v>1</v>
      </c>
      <c r="AT52" s="339"/>
      <c r="AU52" s="339"/>
      <c r="AV52" s="339"/>
      <c r="AW52" s="339"/>
      <c r="AX52" s="339"/>
      <c r="AY52" s="340"/>
      <c r="AZ52" s="341"/>
      <c r="BA52" s="339">
        <v>1</v>
      </c>
      <c r="BB52" s="339"/>
      <c r="BC52" s="339"/>
      <c r="BD52" s="339"/>
      <c r="BE52" s="339"/>
      <c r="BF52" s="339"/>
      <c r="BG52" s="339"/>
      <c r="BH52" s="342"/>
      <c r="BI52" s="340">
        <v>4</v>
      </c>
      <c r="BJ52" s="270">
        <f>O52+U52+V52</f>
        <v>0</v>
      </c>
      <c r="BK52" s="270">
        <f>BJ52*(AS52*'HARDWARE'!E4+BA52*'HARDWARE'!D6)</f>
        <v>0</v>
      </c>
    </row>
    <row r="53" ht="15.2" customHeight="1">
      <c r="A53" t="s" s="204">
        <v>129</v>
      </c>
      <c r="B53" t="s" s="319">
        <v>65</v>
      </c>
      <c r="C53" s="237">
        <v>5</v>
      </c>
      <c r="D53" s="238">
        <v>60.5</v>
      </c>
      <c r="E53" s="239"/>
      <c r="F53" s="240"/>
      <c r="G53" s="241"/>
      <c r="H53" s="242"/>
      <c r="I53" s="243"/>
      <c r="J53" s="244"/>
      <c r="K53" s="245"/>
      <c r="L53" s="246"/>
      <c r="M53" s="247"/>
      <c r="N53" s="248"/>
      <c r="O53" s="249">
        <f>E53+F53+G53+H53+I53+J53+K53+L53+M53+N53</f>
        <v>0</v>
      </c>
      <c r="P53" s="250"/>
      <c r="Q53" s="251"/>
      <c r="R53" s="252"/>
      <c r="S53" s="253"/>
      <c r="T53" s="254"/>
      <c r="U53" s="255">
        <f>P53+Q53+R53+S53+T53</f>
        <v>0</v>
      </c>
      <c r="V53" s="328"/>
      <c r="W53" s="256">
        <f>C53*BJ53</f>
        <v>0</v>
      </c>
      <c r="X53" s="257">
        <f>D53*O53+D53*U53*1.04+V53*1.15*D53</f>
        <v>0</v>
      </c>
      <c r="Y53" s="128"/>
      <c r="Z53" s="129"/>
      <c r="AA53" s="129">
        <f>U53*7</f>
        <v>0</v>
      </c>
      <c r="AB53" s="129">
        <f>U53*8</f>
        <v>0</v>
      </c>
      <c r="AC53" s="129"/>
      <c r="AD53" s="129"/>
      <c r="AE53" s="129"/>
      <c r="AF53" s="129"/>
      <c r="AG53" s="129"/>
      <c r="AH53" s="129"/>
      <c r="AI53" s="130"/>
      <c r="AJ53" s="258"/>
      <c r="AK53" s="259"/>
      <c r="AL53" s="259"/>
      <c r="AM53" s="259">
        <f>5*BJ53</f>
        <v>0</v>
      </c>
      <c r="AN53" s="259"/>
      <c r="AO53" s="265"/>
      <c r="AP53" s="258">
        <f>2*BJ53</f>
        <v>0</v>
      </c>
      <c r="AQ53" s="266"/>
      <c r="AR53" s="329">
        <v>1</v>
      </c>
      <c r="AS53" s="329"/>
      <c r="AT53" s="329">
        <v>4</v>
      </c>
      <c r="AU53" s="329"/>
      <c r="AV53" s="329"/>
      <c r="AW53" s="329"/>
      <c r="AX53" s="329"/>
      <c r="AY53" s="330"/>
      <c r="AZ53" s="331"/>
      <c r="BA53" s="329">
        <v>5</v>
      </c>
      <c r="BB53" s="329"/>
      <c r="BC53" s="329"/>
      <c r="BD53" s="329"/>
      <c r="BE53" s="329"/>
      <c r="BF53" s="329"/>
      <c r="BG53" s="329"/>
      <c r="BH53" s="334"/>
      <c r="BI53" s="330">
        <v>5</v>
      </c>
      <c r="BJ53" s="264">
        <f>O53+U53+V53</f>
        <v>0</v>
      </c>
      <c r="BK53" s="270">
        <f>BJ53*(AR53*'HARDWARE'!D4+AT53*'HARDWARE'!F4+BA53*'HARDWARE'!D7)</f>
        <v>0</v>
      </c>
    </row>
    <row r="54" ht="18.05" customHeight="1">
      <c r="A54" t="s" s="204">
        <v>130</v>
      </c>
      <c r="B54" t="s" s="319">
        <v>111</v>
      </c>
      <c r="C54" s="237">
        <v>1</v>
      </c>
      <c r="D54" s="238">
        <v>64.17</v>
      </c>
      <c r="E54" s="239"/>
      <c r="F54" s="240"/>
      <c r="G54" s="241"/>
      <c r="H54" s="242"/>
      <c r="I54" s="243"/>
      <c r="J54" s="244"/>
      <c r="K54" s="245"/>
      <c r="L54" s="246"/>
      <c r="M54" s="247"/>
      <c r="N54" s="248"/>
      <c r="O54" s="249">
        <f>E54+F54+G54+H54+I54+J54+K54+L54+M54+N54</f>
        <v>0</v>
      </c>
      <c r="P54" s="250"/>
      <c r="Q54" s="251"/>
      <c r="R54" s="252"/>
      <c r="S54" s="253"/>
      <c r="T54" s="254"/>
      <c r="U54" s="255">
        <f>P54+Q54+R54+S54+T54</f>
        <v>0</v>
      </c>
      <c r="V54" s="328"/>
      <c r="W54" s="256">
        <f>C54*BJ54</f>
        <v>0</v>
      </c>
      <c r="X54" s="257">
        <f>D54*O54+D54*U54*1.04+V54*1.15*D54</f>
        <v>0</v>
      </c>
      <c r="Y54" s="128"/>
      <c r="Z54" s="129">
        <f>U54*9</f>
        <v>0</v>
      </c>
      <c r="AA54" s="129">
        <f>U54*11</f>
        <v>0</v>
      </c>
      <c r="AB54" s="129"/>
      <c r="AC54" s="129"/>
      <c r="AD54" s="129"/>
      <c r="AE54" s="129"/>
      <c r="AF54" s="129"/>
      <c r="AG54" s="129"/>
      <c r="AH54" s="129"/>
      <c r="AI54" s="130"/>
      <c r="AJ54" s="258"/>
      <c r="AK54" s="259"/>
      <c r="AL54" s="259"/>
      <c r="AM54" s="259"/>
      <c r="AN54" s="259"/>
      <c r="AO54" s="260">
        <f>1*BJ54</f>
        <v>0</v>
      </c>
      <c r="AP54" s="258">
        <f>2.6*BJ54</f>
        <v>0</v>
      </c>
      <c r="AQ54" s="235"/>
      <c r="AR54" s="339"/>
      <c r="AS54" s="339"/>
      <c r="AT54" s="339"/>
      <c r="AU54" s="339"/>
      <c r="AV54" s="339"/>
      <c r="AW54" s="339"/>
      <c r="AX54" s="339">
        <v>1</v>
      </c>
      <c r="AY54" s="340"/>
      <c r="AZ54" s="341"/>
      <c r="BA54" s="339"/>
      <c r="BB54" s="339">
        <v>2</v>
      </c>
      <c r="BC54" s="339"/>
      <c r="BD54" s="339"/>
      <c r="BE54" s="339"/>
      <c r="BF54" s="339"/>
      <c r="BG54" s="339"/>
      <c r="BH54" s="342"/>
      <c r="BI54" s="340">
        <v>4</v>
      </c>
      <c r="BJ54" s="270">
        <f>O54+U54+V54</f>
        <v>0</v>
      </c>
      <c r="BK54" s="270">
        <f>BJ54*(AX54*'HARDWARE'!J4+BB54*'HARDWARE'!E6)</f>
        <v>0</v>
      </c>
    </row>
    <row r="55" ht="15.2" customHeight="1">
      <c r="A55" t="s" s="204">
        <v>131</v>
      </c>
      <c r="B55" t="s" s="319">
        <v>68</v>
      </c>
      <c r="C55" s="237">
        <v>12</v>
      </c>
      <c r="D55" s="238">
        <v>71</v>
      </c>
      <c r="E55" s="239"/>
      <c r="F55" s="240"/>
      <c r="G55" s="241"/>
      <c r="H55" s="242"/>
      <c r="I55" s="243"/>
      <c r="J55" s="244"/>
      <c r="K55" s="245"/>
      <c r="L55" s="246"/>
      <c r="M55" s="247"/>
      <c r="N55" s="248"/>
      <c r="O55" s="249">
        <f>E55+F55+G55+H55+I55+J55+K55+L55+M55+N55</f>
        <v>0</v>
      </c>
      <c r="P55" s="250"/>
      <c r="Q55" s="251"/>
      <c r="R55" s="252"/>
      <c r="S55" s="253"/>
      <c r="T55" s="254"/>
      <c r="U55" s="255">
        <f>P55+Q55+R55+S55+T55</f>
        <v>0</v>
      </c>
      <c r="V55" s="328"/>
      <c r="W55" s="256">
        <f>C55*BJ55</f>
        <v>0</v>
      </c>
      <c r="X55" s="257">
        <f>D55*O55+D55*U55*1.04+V55*1.15*D55</f>
        <v>0</v>
      </c>
      <c r="Y55" s="128"/>
      <c r="Z55" s="129"/>
      <c r="AA55" s="129"/>
      <c r="AB55" s="129"/>
      <c r="AC55" s="129"/>
      <c r="AD55" s="129"/>
      <c r="AE55" s="129"/>
      <c r="AF55" s="129"/>
      <c r="AG55" s="129"/>
      <c r="AH55" s="129"/>
      <c r="AI55" s="130"/>
      <c r="AJ55" s="258"/>
      <c r="AK55" s="259">
        <f>4*BJ55</f>
        <v>0</v>
      </c>
      <c r="AL55" s="259">
        <f>8*BJ55</f>
        <v>0</v>
      </c>
      <c r="AM55" s="259"/>
      <c r="AN55" s="259"/>
      <c r="AO55" s="265"/>
      <c r="AP55" s="258">
        <f>1.8*BJ55</f>
        <v>0</v>
      </c>
      <c r="AQ55" s="266"/>
      <c r="AR55" s="329">
        <v>5</v>
      </c>
      <c r="AS55" s="329">
        <v>7</v>
      </c>
      <c r="AT55" s="329"/>
      <c r="AU55" s="329"/>
      <c r="AV55" s="329"/>
      <c r="AW55" s="329"/>
      <c r="AX55" s="329"/>
      <c r="AY55" s="330"/>
      <c r="AZ55" s="331"/>
      <c r="BA55" s="329"/>
      <c r="BB55" s="329"/>
      <c r="BC55" s="329"/>
      <c r="BD55" s="329"/>
      <c r="BE55" s="329"/>
      <c r="BF55" s="329"/>
      <c r="BG55" s="329"/>
      <c r="BH55" s="334"/>
      <c r="BI55" t="s" s="338">
        <v>83</v>
      </c>
      <c r="BJ55" s="264">
        <f>O55+U55+V55</f>
        <v>0</v>
      </c>
      <c r="BK55" s="270">
        <f>BJ55*(AR55*'HARDWARE'!D4+AS55*'HARDWARE'!E4)</f>
        <v>0</v>
      </c>
    </row>
    <row r="56" ht="18.05" customHeight="1">
      <c r="A56" t="s" s="204">
        <v>132</v>
      </c>
      <c r="B56" t="s" s="319">
        <v>119</v>
      </c>
      <c r="C56" s="237">
        <v>10</v>
      </c>
      <c r="D56" s="238">
        <v>83.67</v>
      </c>
      <c r="E56" s="239"/>
      <c r="F56" s="240"/>
      <c r="G56" s="241"/>
      <c r="H56" s="242"/>
      <c r="I56" s="243"/>
      <c r="J56" s="244"/>
      <c r="K56" s="245"/>
      <c r="L56" s="246"/>
      <c r="M56" s="247"/>
      <c r="N56" s="248"/>
      <c r="O56" s="249">
        <f>E56+F56+G56+H56+I56+J56+K56+L56+M56+N56</f>
        <v>0</v>
      </c>
      <c r="P56" s="250"/>
      <c r="Q56" s="251"/>
      <c r="R56" s="252"/>
      <c r="S56" s="253"/>
      <c r="T56" s="254"/>
      <c r="U56" s="255">
        <f>P56+Q56+R56+S56+T56</f>
        <v>0</v>
      </c>
      <c r="V56" s="328"/>
      <c r="W56" s="256">
        <f>C56*BJ56</f>
        <v>0</v>
      </c>
      <c r="X56" s="257">
        <f>D56*O56+D56*U56*1.04+V56*1.15*D56</f>
        <v>0</v>
      </c>
      <c r="Y56" s="128"/>
      <c r="Z56" s="129"/>
      <c r="AA56" s="129">
        <f>U56*1</f>
        <v>0</v>
      </c>
      <c r="AB56" s="129">
        <f>U56*6</f>
        <v>0</v>
      </c>
      <c r="AC56" s="129">
        <f>U56*2</f>
        <v>0</v>
      </c>
      <c r="AD56" s="129"/>
      <c r="AE56" s="129">
        <f>U56*1</f>
        <v>0</v>
      </c>
      <c r="AF56" s="129"/>
      <c r="AG56" s="129"/>
      <c r="AH56" s="129"/>
      <c r="AI56" s="130"/>
      <c r="AJ56" s="258"/>
      <c r="AK56" s="259"/>
      <c r="AL56" s="259">
        <f>6*BJ56</f>
        <v>0</v>
      </c>
      <c r="AM56" s="259">
        <f>3*BJ56</f>
        <v>0</v>
      </c>
      <c r="AN56" s="259"/>
      <c r="AO56" s="265"/>
      <c r="AP56" s="258">
        <f>2.6*BJ56</f>
        <v>0</v>
      </c>
      <c r="AQ56" s="235"/>
      <c r="AR56" s="339">
        <v>5</v>
      </c>
      <c r="AS56" s="339">
        <v>3</v>
      </c>
      <c r="AT56" s="339">
        <v>2</v>
      </c>
      <c r="AU56" s="339"/>
      <c r="AV56" s="339"/>
      <c r="AW56" s="339"/>
      <c r="AX56" s="339"/>
      <c r="AY56" s="340"/>
      <c r="AZ56" s="341"/>
      <c r="BA56" s="339"/>
      <c r="BB56" s="339"/>
      <c r="BC56" s="339"/>
      <c r="BD56" s="339"/>
      <c r="BE56" s="339"/>
      <c r="BF56" s="339"/>
      <c r="BG56" s="339"/>
      <c r="BH56" s="342"/>
      <c r="BI56" t="s" s="337">
        <v>83</v>
      </c>
      <c r="BJ56" s="270">
        <f>O56+U56+V56</f>
        <v>0</v>
      </c>
      <c r="BK56" s="270">
        <f>BJ56*(AR56*'HARDWARE'!D4+AS56*'HARDWARE'!E4+AT56*'HARDWARE'!F4)</f>
        <v>0</v>
      </c>
    </row>
    <row r="57" ht="17" customHeight="1">
      <c r="A57" t="s" s="346">
        <v>133</v>
      </c>
      <c r="B57" t="s" s="319">
        <v>72</v>
      </c>
      <c r="C57" s="347">
        <v>1</v>
      </c>
      <c r="D57" s="257">
        <v>25.33</v>
      </c>
      <c r="E57" s="239"/>
      <c r="F57" s="240"/>
      <c r="G57" s="241"/>
      <c r="H57" s="242"/>
      <c r="I57" s="243"/>
      <c r="J57" s="244"/>
      <c r="K57" s="245"/>
      <c r="L57" s="246"/>
      <c r="M57" s="247"/>
      <c r="N57" s="248"/>
      <c r="O57" s="249">
        <f>E57+F57+G57+H57+I57+J57+K57+L57+M57+N57</f>
        <v>0</v>
      </c>
      <c r="P57" s="250"/>
      <c r="Q57" s="251"/>
      <c r="R57" s="252"/>
      <c r="S57" s="253"/>
      <c r="T57" s="254"/>
      <c r="U57" s="255">
        <f>P57+Q57+R57+S57+T57</f>
        <v>0</v>
      </c>
      <c r="V57" s="328"/>
      <c r="W57" s="256">
        <f>C57*BJ57</f>
        <v>0</v>
      </c>
      <c r="X57" s="257">
        <f>D57*O57+D57*U57*1.04+V57*1.15*D57</f>
        <v>0</v>
      </c>
      <c r="Y57" s="128"/>
      <c r="Z57" s="129"/>
      <c r="AA57" s="129"/>
      <c r="AB57" s="129"/>
      <c r="AC57" s="129">
        <f>U57*2</f>
        <v>0</v>
      </c>
      <c r="AD57" s="129">
        <f>U57*1</f>
        <v>0</v>
      </c>
      <c r="AE57" s="129"/>
      <c r="AF57" s="129">
        <f>U57*1</f>
        <v>0</v>
      </c>
      <c r="AG57" s="129">
        <f>U57*1</f>
        <v>0</v>
      </c>
      <c r="AH57" s="129"/>
      <c r="AI57" s="130"/>
      <c r="AJ57" s="258"/>
      <c r="AK57" s="259"/>
      <c r="AL57" s="259"/>
      <c r="AM57" s="259"/>
      <c r="AN57" s="259">
        <f>1*BJ57</f>
        <v>0</v>
      </c>
      <c r="AO57" s="265"/>
      <c r="AP57" s="258">
        <f>0.5*BJ57</f>
        <v>0</v>
      </c>
      <c r="AQ57" s="266"/>
      <c r="AR57" s="329"/>
      <c r="AS57" s="329"/>
      <c r="AT57" s="329"/>
      <c r="AU57" s="329"/>
      <c r="AV57" s="329"/>
      <c r="AW57" s="329"/>
      <c r="AX57" s="329"/>
      <c r="AY57" s="330"/>
      <c r="AZ57" s="331">
        <v>4</v>
      </c>
      <c r="BA57" s="329">
        <v>6</v>
      </c>
      <c r="BB57" s="329"/>
      <c r="BC57" s="329"/>
      <c r="BD57" s="329"/>
      <c r="BE57" s="329"/>
      <c r="BF57" s="329"/>
      <c r="BG57" s="329"/>
      <c r="BH57" s="334"/>
      <c r="BI57" s="330">
        <v>5</v>
      </c>
      <c r="BJ57" s="264">
        <f>O57+U57+V57</f>
        <v>0</v>
      </c>
      <c r="BK57" s="270">
        <f>BJ57*(AZ57*'HARDWARE'!C7+BA57*'HARDWARE'!D7)</f>
        <v>0</v>
      </c>
    </row>
    <row r="58" ht="17" customHeight="1">
      <c r="A58" t="s" s="346">
        <v>134</v>
      </c>
      <c r="B58" t="s" s="319">
        <v>72</v>
      </c>
      <c r="C58" s="347">
        <v>1</v>
      </c>
      <c r="D58" s="257">
        <v>46.83</v>
      </c>
      <c r="E58" s="239"/>
      <c r="F58" s="240"/>
      <c r="G58" s="241"/>
      <c r="H58" s="242"/>
      <c r="I58" s="243"/>
      <c r="J58" s="244"/>
      <c r="K58" s="245"/>
      <c r="L58" s="246"/>
      <c r="M58" s="247"/>
      <c r="N58" s="248"/>
      <c r="O58" s="249">
        <f>E58+F58+G58+H58+I58+J58+K58+L58+M58+N58</f>
        <v>0</v>
      </c>
      <c r="P58" s="250"/>
      <c r="Q58" s="251"/>
      <c r="R58" s="252"/>
      <c r="S58" s="253"/>
      <c r="T58" s="254"/>
      <c r="U58" s="255">
        <f>P58+Q58+R58+S58+T58</f>
        <v>0</v>
      </c>
      <c r="V58" s="328"/>
      <c r="W58" s="256">
        <f>C58*BJ58</f>
        <v>0</v>
      </c>
      <c r="X58" s="257">
        <f>D58*O58+D58*U58*1.04+V58*1.15*D58</f>
        <v>0</v>
      </c>
      <c r="Y58" s="128"/>
      <c r="Z58" s="129">
        <f>U58*1</f>
        <v>0</v>
      </c>
      <c r="AA58" s="129"/>
      <c r="AB58" s="129">
        <f>U58*1</f>
        <v>0</v>
      </c>
      <c r="AC58" s="129">
        <f>U58*3</f>
        <v>0</v>
      </c>
      <c r="AD58" s="129"/>
      <c r="AE58" s="129"/>
      <c r="AF58" s="129"/>
      <c r="AG58" s="129"/>
      <c r="AH58" s="129"/>
      <c r="AI58" s="130"/>
      <c r="AJ58" s="258"/>
      <c r="AK58" s="259"/>
      <c r="AL58" s="259"/>
      <c r="AM58" s="259"/>
      <c r="AN58" s="259">
        <f>1*BJ58</f>
        <v>0</v>
      </c>
      <c r="AO58" s="265"/>
      <c r="AP58" s="258">
        <f>0.8*BJ58</f>
        <v>0</v>
      </c>
      <c r="AQ58" s="266"/>
      <c r="AR58" s="329"/>
      <c r="AS58" s="329"/>
      <c r="AT58" s="329"/>
      <c r="AU58" s="329"/>
      <c r="AV58" s="329"/>
      <c r="AW58" s="329"/>
      <c r="AX58" s="329"/>
      <c r="AY58" s="330"/>
      <c r="AZ58" s="331"/>
      <c r="BA58" s="329"/>
      <c r="BB58" s="329">
        <v>4</v>
      </c>
      <c r="BC58" s="329">
        <v>6</v>
      </c>
      <c r="BD58" s="329"/>
      <c r="BE58" s="329"/>
      <c r="BF58" s="329"/>
      <c r="BG58" s="329"/>
      <c r="BH58" s="334"/>
      <c r="BI58" s="330">
        <v>5</v>
      </c>
      <c r="BJ58" s="270">
        <f>O58+U58+V58</f>
        <v>0</v>
      </c>
      <c r="BK58" s="270">
        <f>BJ58*(BB58*'HARDWARE'!E7+BC58*'HARDWARE'!F7)</f>
        <v>0</v>
      </c>
    </row>
    <row r="59" ht="17" customHeight="1">
      <c r="A59" t="s" s="346">
        <v>135</v>
      </c>
      <c r="B59" t="s" s="319">
        <v>72</v>
      </c>
      <c r="C59" s="347">
        <v>1</v>
      </c>
      <c r="D59" s="257">
        <v>56.5</v>
      </c>
      <c r="E59" s="239"/>
      <c r="F59" s="240"/>
      <c r="G59" s="241"/>
      <c r="H59" s="242"/>
      <c r="I59" s="243"/>
      <c r="J59" s="244"/>
      <c r="K59" s="245"/>
      <c r="L59" s="246"/>
      <c r="M59" s="247"/>
      <c r="N59" s="248"/>
      <c r="O59" s="249">
        <f>E59+F59+G59+H59+I59+J59+K59+L59+M59+N59</f>
        <v>0</v>
      </c>
      <c r="P59" s="250"/>
      <c r="Q59" s="251"/>
      <c r="R59" s="252"/>
      <c r="S59" s="253"/>
      <c r="T59" s="254"/>
      <c r="U59" s="255">
        <f>P59+Q59+R59+S59+T59</f>
        <v>0</v>
      </c>
      <c r="V59" s="328"/>
      <c r="W59" s="256">
        <f>C59*BJ59</f>
        <v>0</v>
      </c>
      <c r="X59" s="257">
        <f>D59*O59+D59*U59*1.04+V59*1.15*D59</f>
        <v>0</v>
      </c>
      <c r="Y59" s="128"/>
      <c r="Z59" s="129"/>
      <c r="AA59" s="129"/>
      <c r="AB59" s="129">
        <f>U59*1</f>
        <v>0</v>
      </c>
      <c r="AC59" s="129"/>
      <c r="AD59" s="129"/>
      <c r="AE59" s="129"/>
      <c r="AF59" s="129"/>
      <c r="AG59" s="129"/>
      <c r="AH59" s="129"/>
      <c r="AI59" s="130"/>
      <c r="AJ59" s="258"/>
      <c r="AK59" s="259"/>
      <c r="AL59" s="259"/>
      <c r="AM59" s="259"/>
      <c r="AN59" s="259"/>
      <c r="AO59" s="260">
        <f>1*BJ59</f>
        <v>0</v>
      </c>
      <c r="AP59" s="258">
        <f>2.3*BJ59</f>
        <v>0</v>
      </c>
      <c r="AQ59" s="266"/>
      <c r="AR59" s="329"/>
      <c r="AS59" s="329"/>
      <c r="AT59" s="329">
        <v>1</v>
      </c>
      <c r="AU59" s="329"/>
      <c r="AV59" s="329"/>
      <c r="AW59" s="329"/>
      <c r="AX59" s="329"/>
      <c r="AY59" s="330"/>
      <c r="AZ59" s="331">
        <v>1</v>
      </c>
      <c r="BA59" s="329">
        <v>4</v>
      </c>
      <c r="BB59" s="329"/>
      <c r="BC59" s="329"/>
      <c r="BD59" s="329">
        <v>5</v>
      </c>
      <c r="BE59" s="329"/>
      <c r="BF59" s="329"/>
      <c r="BG59" s="329"/>
      <c r="BH59" s="334"/>
      <c r="BI59" s="330">
        <v>4</v>
      </c>
      <c r="BJ59" s="264">
        <f>O59+U59+V59</f>
        <v>0</v>
      </c>
      <c r="BK59" s="270">
        <f>BJ59*(AT59*'HARDWARE'!F4+AZ59*'HARDWARE'!C6+BA59*'HARDWARE'!D6+BD59*'HARDWARE'!G6)</f>
        <v>0</v>
      </c>
    </row>
    <row r="60" ht="17" customHeight="1">
      <c r="A60" t="s" s="204">
        <v>136</v>
      </c>
      <c r="B60" t="s" s="319">
        <v>72</v>
      </c>
      <c r="C60" s="237">
        <v>2</v>
      </c>
      <c r="D60" s="238">
        <v>39.67</v>
      </c>
      <c r="E60" s="239"/>
      <c r="F60" s="240"/>
      <c r="G60" s="241"/>
      <c r="H60" s="242"/>
      <c r="I60" s="243"/>
      <c r="J60" s="244"/>
      <c r="K60" s="245"/>
      <c r="L60" s="246"/>
      <c r="M60" s="247"/>
      <c r="N60" s="248"/>
      <c r="O60" s="249">
        <f>E60+F60+G60+H60+I60+J60+K60+L60+M60+N60</f>
        <v>0</v>
      </c>
      <c r="P60" s="250"/>
      <c r="Q60" s="251"/>
      <c r="R60" s="252"/>
      <c r="S60" s="253"/>
      <c r="T60" s="254"/>
      <c r="U60" s="255">
        <f>P60+Q60+R60+S60+T60</f>
        <v>0</v>
      </c>
      <c r="V60" s="328"/>
      <c r="W60" s="256">
        <f>C60*BJ60</f>
        <v>0</v>
      </c>
      <c r="X60" s="257">
        <f>D60*O60+D60*U60*1.04+V60*1.15*D60</f>
        <v>0</v>
      </c>
      <c r="Y60" s="128"/>
      <c r="Z60" s="129"/>
      <c r="AA60" s="129"/>
      <c r="AB60" s="129">
        <f>U60*1</f>
        <v>0</v>
      </c>
      <c r="AC60" s="129">
        <f>U60*2</f>
        <v>0</v>
      </c>
      <c r="AD60" s="129">
        <f>U60*1</f>
        <v>0</v>
      </c>
      <c r="AE60" s="129"/>
      <c r="AF60" s="129"/>
      <c r="AG60" s="129">
        <f>U60*1</f>
        <v>0</v>
      </c>
      <c r="AH60" s="129"/>
      <c r="AI60" s="130"/>
      <c r="AJ60" s="258"/>
      <c r="AK60" s="259"/>
      <c r="AL60" s="259"/>
      <c r="AM60" s="259">
        <f>1*BJ60</f>
        <v>0</v>
      </c>
      <c r="AN60" s="259">
        <f>1*BJ60</f>
        <v>0</v>
      </c>
      <c r="AO60" s="265"/>
      <c r="AP60" s="258">
        <f>1.4*BJ60</f>
        <v>0</v>
      </c>
      <c r="AQ60" s="266"/>
      <c r="AR60" s="329"/>
      <c r="AS60" s="329"/>
      <c r="AT60" s="329"/>
      <c r="AU60" s="329"/>
      <c r="AV60" s="329">
        <v>1</v>
      </c>
      <c r="AW60" s="329"/>
      <c r="AX60" s="329">
        <v>1</v>
      </c>
      <c r="AY60" s="330"/>
      <c r="AZ60" s="331"/>
      <c r="BA60" s="329">
        <v>1</v>
      </c>
      <c r="BB60" s="329">
        <v>1</v>
      </c>
      <c r="BC60" s="329"/>
      <c r="BD60" s="329"/>
      <c r="BE60" s="329"/>
      <c r="BF60" s="329"/>
      <c r="BG60" s="329"/>
      <c r="BH60" s="334"/>
      <c r="BI60" s="330">
        <v>5</v>
      </c>
      <c r="BJ60" s="270">
        <f>O60+U60+V60</f>
        <v>0</v>
      </c>
      <c r="BK60" s="270">
        <f>BJ60*(AV60*'HARDWARE'!H4+AX60*'HARDWARE'!J4+BA60*'HARDWARE'!D7+BB60*'HARDWARE'!E7)</f>
        <v>0</v>
      </c>
    </row>
    <row r="61" ht="17" customHeight="1">
      <c r="A61" t="s" s="348">
        <v>137</v>
      </c>
      <c r="B61" t="s" s="319">
        <v>72</v>
      </c>
      <c r="C61" s="237">
        <v>1</v>
      </c>
      <c r="D61" s="238">
        <v>24.5</v>
      </c>
      <c r="E61" s="239"/>
      <c r="F61" s="240"/>
      <c r="G61" s="241"/>
      <c r="H61" s="242"/>
      <c r="I61" s="243"/>
      <c r="J61" s="244"/>
      <c r="K61" s="245"/>
      <c r="L61" s="246"/>
      <c r="M61" s="247"/>
      <c r="N61" s="248"/>
      <c r="O61" s="249">
        <f>E61+F61+G61+H61+I61+J61+K61+L61+M61+N61</f>
        <v>0</v>
      </c>
      <c r="P61" s="250"/>
      <c r="Q61" s="251"/>
      <c r="R61" s="252"/>
      <c r="S61" s="253"/>
      <c r="T61" s="254"/>
      <c r="U61" s="255">
        <f>P61+Q61+R61+S61+T61</f>
        <v>0</v>
      </c>
      <c r="V61" s="328"/>
      <c r="W61" s="256">
        <f>C61*BJ61</f>
        <v>0</v>
      </c>
      <c r="X61" s="257">
        <f>D61*O61+D61*U61*1.04+V61*1.15*D61</f>
        <v>0</v>
      </c>
      <c r="Y61" s="128"/>
      <c r="Z61" s="129"/>
      <c r="AA61" s="129">
        <f>U61*1</f>
        <v>0</v>
      </c>
      <c r="AB61" s="129">
        <f>U61*1</f>
        <v>0</v>
      </c>
      <c r="AC61" s="129">
        <f>U61*3</f>
        <v>0</v>
      </c>
      <c r="AD61" s="129"/>
      <c r="AE61" s="129"/>
      <c r="AF61" s="129"/>
      <c r="AG61" s="129"/>
      <c r="AH61" s="129"/>
      <c r="AI61" s="130"/>
      <c r="AJ61" s="258"/>
      <c r="AK61" s="259"/>
      <c r="AL61" s="259"/>
      <c r="AM61" s="259"/>
      <c r="AN61" s="259"/>
      <c r="AO61" s="260">
        <f>1*BJ61</f>
        <v>0</v>
      </c>
      <c r="AP61" s="258">
        <f>0.7*BJ61</f>
        <v>0</v>
      </c>
      <c r="AQ61" s="235"/>
      <c r="AR61" s="339"/>
      <c r="AS61" s="339"/>
      <c r="AT61" s="339"/>
      <c r="AU61" s="339"/>
      <c r="AV61" s="339"/>
      <c r="AW61" s="339"/>
      <c r="AX61" s="339">
        <v>1</v>
      </c>
      <c r="AY61" s="340"/>
      <c r="AZ61" s="341"/>
      <c r="BA61" s="339"/>
      <c r="BB61" s="339"/>
      <c r="BC61" s="339">
        <v>1</v>
      </c>
      <c r="BD61" s="339"/>
      <c r="BE61" s="339"/>
      <c r="BF61" s="339"/>
      <c r="BG61" s="339"/>
      <c r="BH61" s="342"/>
      <c r="BI61" s="340">
        <v>5</v>
      </c>
      <c r="BJ61" s="264">
        <f>O61+U61+V61</f>
        <v>0</v>
      </c>
      <c r="BK61" s="270">
        <f>BJ61*(AX61*'HARDWARE'!J4+BC61*'HARDWARE'!F7)</f>
        <v>0</v>
      </c>
    </row>
    <row r="62" ht="18.05" customHeight="1">
      <c r="A62" t="s" s="204">
        <v>138</v>
      </c>
      <c r="B62" t="s" s="319">
        <v>72</v>
      </c>
      <c r="C62" s="237">
        <v>6</v>
      </c>
      <c r="D62" s="238">
        <v>23.67</v>
      </c>
      <c r="E62" s="239"/>
      <c r="F62" s="240"/>
      <c r="G62" s="241"/>
      <c r="H62" s="242"/>
      <c r="I62" s="243"/>
      <c r="J62" s="244"/>
      <c r="K62" s="245"/>
      <c r="L62" s="246"/>
      <c r="M62" s="247"/>
      <c r="N62" s="248"/>
      <c r="O62" s="249">
        <f>E62+F62+G62+H62+I62+J62+K62+L62+M62+N62</f>
        <v>0</v>
      </c>
      <c r="P62" s="250"/>
      <c r="Q62" s="251"/>
      <c r="R62" s="252"/>
      <c r="S62" s="253"/>
      <c r="T62" s="254"/>
      <c r="U62" s="255">
        <f>P62+Q62+R62+S62+T62</f>
        <v>0</v>
      </c>
      <c r="V62" s="328"/>
      <c r="W62" s="256">
        <f>C62*BJ62</f>
        <v>0</v>
      </c>
      <c r="X62" s="257">
        <f>D62*O62+D62*U62*1.04+V62*1.15*D62</f>
        <v>0</v>
      </c>
      <c r="Y62" s="128"/>
      <c r="Z62" s="129"/>
      <c r="AA62" s="129">
        <f>U62*9</f>
        <v>0</v>
      </c>
      <c r="AB62" s="129">
        <f>U62*8</f>
        <v>0</v>
      </c>
      <c r="AC62" s="129">
        <f>U62*3</f>
        <v>0</v>
      </c>
      <c r="AD62" s="129"/>
      <c r="AE62" s="129"/>
      <c r="AF62" s="129"/>
      <c r="AG62" s="129"/>
      <c r="AH62" s="129"/>
      <c r="AI62" s="130"/>
      <c r="AJ62" s="258"/>
      <c r="AK62" s="259">
        <f>6*BJ62</f>
        <v>0</v>
      </c>
      <c r="AL62" s="259"/>
      <c r="AM62" s="259"/>
      <c r="AN62" s="259"/>
      <c r="AO62" s="265"/>
      <c r="AP62" s="258">
        <f>1*BJ62</f>
        <v>0</v>
      </c>
      <c r="AQ62" s="266"/>
      <c r="AR62" s="329">
        <v>4</v>
      </c>
      <c r="AS62" s="329">
        <v>2</v>
      </c>
      <c r="AT62" s="329"/>
      <c r="AU62" s="329"/>
      <c r="AV62" s="329"/>
      <c r="AW62" s="329"/>
      <c r="AX62" s="329"/>
      <c r="AY62" s="330"/>
      <c r="AZ62" s="331"/>
      <c r="BA62" s="329">
        <v>8</v>
      </c>
      <c r="BB62" s="329">
        <v>4</v>
      </c>
      <c r="BC62" s="329"/>
      <c r="BD62" s="329"/>
      <c r="BE62" s="329"/>
      <c r="BF62" s="329"/>
      <c r="BG62" s="329"/>
      <c r="BH62" s="334"/>
      <c r="BI62" s="330">
        <v>5</v>
      </c>
      <c r="BJ62" s="270">
        <f>O62+U62+V62</f>
        <v>0</v>
      </c>
      <c r="BK62" s="270">
        <f>BJ62*(AR62*'HARDWARE'!D4+AS62*'HARDWARE'!E4+BA62*'HARDWARE'!D7+BB62*'HARDWARE'!E7)</f>
        <v>0</v>
      </c>
    </row>
    <row r="63" ht="18.05" customHeight="1">
      <c r="A63" t="s" s="204">
        <v>139</v>
      </c>
      <c r="B63" t="s" s="319">
        <v>140</v>
      </c>
      <c r="C63" s="237">
        <v>7</v>
      </c>
      <c r="D63" s="238">
        <v>41.67</v>
      </c>
      <c r="E63" s="239"/>
      <c r="F63" s="240"/>
      <c r="G63" s="241"/>
      <c r="H63" s="242"/>
      <c r="I63" s="243"/>
      <c r="J63" s="244"/>
      <c r="K63" s="245"/>
      <c r="L63" s="246"/>
      <c r="M63" s="247"/>
      <c r="N63" s="248"/>
      <c r="O63" s="249">
        <f>E63+F63+G63+H63+I63+J63+K63+L63+M63+N63</f>
        <v>0</v>
      </c>
      <c r="P63" s="250"/>
      <c r="Q63" s="251"/>
      <c r="R63" s="252"/>
      <c r="S63" s="253"/>
      <c r="T63" s="254"/>
      <c r="U63" s="255">
        <f>P63+Q63+R63+S63+T63</f>
        <v>0</v>
      </c>
      <c r="V63" s="328"/>
      <c r="W63" s="256">
        <f>C63*BJ63</f>
        <v>0</v>
      </c>
      <c r="X63" s="257">
        <f>D63*O63+D63*U63*1.04+V63*1.15*D63</f>
        <v>0</v>
      </c>
      <c r="Y63" s="128"/>
      <c r="Z63" s="129">
        <f>U63*3</f>
        <v>0</v>
      </c>
      <c r="AA63" s="129">
        <f>U63*22</f>
        <v>0</v>
      </c>
      <c r="AB63" s="129"/>
      <c r="AC63" s="129"/>
      <c r="AD63" s="129"/>
      <c r="AE63" s="129"/>
      <c r="AF63" s="129"/>
      <c r="AG63" s="129"/>
      <c r="AH63" s="129"/>
      <c r="AI63" s="130"/>
      <c r="AJ63" s="258"/>
      <c r="AK63" s="259">
        <f>1*BJ63</f>
        <v>0</v>
      </c>
      <c r="AL63" s="259">
        <f>6*BJ63</f>
        <v>0</v>
      </c>
      <c r="AM63" s="259"/>
      <c r="AN63" s="259"/>
      <c r="AO63" s="265"/>
      <c r="AP63" s="258">
        <f>1.4*BJ63</f>
        <v>0</v>
      </c>
      <c r="AQ63" s="266"/>
      <c r="AR63" s="329">
        <v>4</v>
      </c>
      <c r="AS63" s="329">
        <v>3</v>
      </c>
      <c r="AT63" s="329"/>
      <c r="AU63" s="329"/>
      <c r="AV63" s="329"/>
      <c r="AW63" s="329"/>
      <c r="AX63" s="329"/>
      <c r="AY63" s="330"/>
      <c r="AZ63" s="331"/>
      <c r="BA63" s="329">
        <v>6</v>
      </c>
      <c r="BB63" s="329"/>
      <c r="BC63" s="329"/>
      <c r="BD63" s="329"/>
      <c r="BE63" s="329"/>
      <c r="BF63" s="329"/>
      <c r="BG63" s="329"/>
      <c r="BH63" s="334"/>
      <c r="BI63" s="330">
        <v>4</v>
      </c>
      <c r="BJ63" s="264">
        <f>O63+U63+V63</f>
        <v>0</v>
      </c>
      <c r="BK63" s="270">
        <f>BJ63*(AR63*'HARDWARE'!D4+AS63*'HARDWARE'!E4+BA63*'HARDWARE'!D6)</f>
        <v>0</v>
      </c>
    </row>
    <row r="64" ht="18.05" customHeight="1">
      <c r="A64" t="s" s="204">
        <v>141</v>
      </c>
      <c r="B64" t="s" s="319">
        <v>119</v>
      </c>
      <c r="C64" s="237">
        <v>6</v>
      </c>
      <c r="D64" s="238">
        <v>27.17</v>
      </c>
      <c r="E64" s="239"/>
      <c r="F64" s="240"/>
      <c r="G64" s="241"/>
      <c r="H64" s="242"/>
      <c r="I64" s="243"/>
      <c r="J64" s="244"/>
      <c r="K64" s="245"/>
      <c r="L64" s="246"/>
      <c r="M64" s="247"/>
      <c r="N64" s="248"/>
      <c r="O64" s="249">
        <f>E64+F64+G64+H64+I64+J64+K64+L64+M64+N64</f>
        <v>0</v>
      </c>
      <c r="P64" s="250"/>
      <c r="Q64" s="251"/>
      <c r="R64" s="252"/>
      <c r="S64" s="253"/>
      <c r="T64" s="254"/>
      <c r="U64" s="255">
        <f>P64+Q64+R64+S64+T64</f>
        <v>0</v>
      </c>
      <c r="V64" s="328"/>
      <c r="W64" s="256">
        <f>C64*BJ64</f>
        <v>0</v>
      </c>
      <c r="X64" s="257">
        <f>D64*O64+D64*U64*1.04+V64*1.15*D64</f>
        <v>0</v>
      </c>
      <c r="Y64" s="128"/>
      <c r="Z64" s="129"/>
      <c r="AA64" s="129">
        <f>U64*5</f>
        <v>0</v>
      </c>
      <c r="AB64" s="129">
        <f>U64*1</f>
        <v>0</v>
      </c>
      <c r="AC64" s="129">
        <f>U64*1</f>
        <v>0</v>
      </c>
      <c r="AD64" s="129">
        <f>U64*3</f>
        <v>0</v>
      </c>
      <c r="AE64" s="129"/>
      <c r="AF64" s="129"/>
      <c r="AG64" s="129"/>
      <c r="AH64" s="129"/>
      <c r="AI64" s="130"/>
      <c r="AJ64" s="258"/>
      <c r="AK64" s="259">
        <f>6*BJ64</f>
        <v>0</v>
      </c>
      <c r="AL64" s="259"/>
      <c r="AM64" s="259"/>
      <c r="AN64" s="259"/>
      <c r="AO64" s="265"/>
      <c r="AP64" s="258">
        <f>0.7*BJ64</f>
        <v>0</v>
      </c>
      <c r="AQ64" s="266"/>
      <c r="AR64" s="329">
        <v>3</v>
      </c>
      <c r="AS64" s="329">
        <v>3</v>
      </c>
      <c r="AT64" s="329"/>
      <c r="AU64" s="329"/>
      <c r="AV64" s="329"/>
      <c r="AW64" s="329"/>
      <c r="AX64" s="329"/>
      <c r="AY64" s="330"/>
      <c r="AZ64" s="331"/>
      <c r="BA64" s="329"/>
      <c r="BB64" s="329"/>
      <c r="BC64" s="329"/>
      <c r="BD64" s="329"/>
      <c r="BE64" s="329"/>
      <c r="BF64" s="329"/>
      <c r="BG64" s="329"/>
      <c r="BH64" s="334"/>
      <c r="BI64" t="s" s="338">
        <v>83</v>
      </c>
      <c r="BJ64" s="270">
        <f>O64+U64+V64</f>
        <v>0</v>
      </c>
      <c r="BK64" s="270">
        <f>BJ64*(AR64*'HARDWARE'!D4+AS64*'HARDWARE'!E4)</f>
        <v>0</v>
      </c>
    </row>
    <row r="65" ht="18.05" customHeight="1">
      <c r="A65" t="s" s="204">
        <v>142</v>
      </c>
      <c r="B65" t="s" s="319">
        <v>119</v>
      </c>
      <c r="C65" s="237">
        <v>10</v>
      </c>
      <c r="D65" s="238">
        <v>42.83</v>
      </c>
      <c r="E65" s="239"/>
      <c r="F65" s="240"/>
      <c r="G65" s="241"/>
      <c r="H65" s="242"/>
      <c r="I65" s="243"/>
      <c r="J65" s="244"/>
      <c r="K65" s="245"/>
      <c r="L65" s="246"/>
      <c r="M65" s="247"/>
      <c r="N65" s="248"/>
      <c r="O65" s="249">
        <f>E65+F65+G65+H65+I65+J65+K65+L65+M65+N65</f>
        <v>0</v>
      </c>
      <c r="P65" s="250"/>
      <c r="Q65" s="251"/>
      <c r="R65" s="252"/>
      <c r="S65" s="253"/>
      <c r="T65" s="254"/>
      <c r="U65" s="255">
        <f>P65+Q65+R65+S65+T65</f>
        <v>0</v>
      </c>
      <c r="V65" s="328"/>
      <c r="W65" s="256">
        <f>C65*BJ65</f>
        <v>0</v>
      </c>
      <c r="X65" s="257">
        <f>D65*O65+D65*U65*1.04+V65*1.15*D65</f>
        <v>0</v>
      </c>
      <c r="Y65" s="128"/>
      <c r="Z65" s="129"/>
      <c r="AA65" s="129">
        <f>U65*15</f>
        <v>0</v>
      </c>
      <c r="AB65" s="129"/>
      <c r="AC65" s="129"/>
      <c r="AD65" s="129"/>
      <c r="AE65" s="129"/>
      <c r="AF65" s="129"/>
      <c r="AG65" s="129"/>
      <c r="AH65" s="129"/>
      <c r="AI65" s="130"/>
      <c r="AJ65" s="258"/>
      <c r="AK65" s="259">
        <f>10*BJ65</f>
        <v>0</v>
      </c>
      <c r="AL65" s="259"/>
      <c r="AM65" s="259"/>
      <c r="AN65" s="259"/>
      <c r="AO65" s="265"/>
      <c r="AP65" s="258">
        <f>0.9*BJ65</f>
        <v>0</v>
      </c>
      <c r="AQ65" s="266"/>
      <c r="AR65" s="329">
        <v>4</v>
      </c>
      <c r="AS65" s="329">
        <v>4</v>
      </c>
      <c r="AT65" s="329">
        <v>2</v>
      </c>
      <c r="AU65" s="329"/>
      <c r="AV65" s="329"/>
      <c r="AW65" s="329"/>
      <c r="AX65" s="329"/>
      <c r="AY65" s="330"/>
      <c r="AZ65" s="331"/>
      <c r="BA65" s="329"/>
      <c r="BB65" s="329"/>
      <c r="BC65" s="329"/>
      <c r="BD65" s="329"/>
      <c r="BE65" s="329"/>
      <c r="BF65" s="329"/>
      <c r="BG65" s="329"/>
      <c r="BH65" s="334"/>
      <c r="BI65" t="s" s="338">
        <v>83</v>
      </c>
      <c r="BJ65" s="264">
        <f>O65+U65+V65</f>
        <v>0</v>
      </c>
      <c r="BK65" s="270">
        <f>BJ65*(AR65*'HARDWARE'!D4+AS65*'HARDWARE'!E4+AT65*'HARDWARE'!F4)</f>
        <v>0</v>
      </c>
    </row>
    <row r="66" ht="16.4" customHeight="1">
      <c r="A66" t="s" s="204">
        <v>143</v>
      </c>
      <c r="B66" t="s" s="319">
        <v>68</v>
      </c>
      <c r="C66" s="237">
        <v>1</v>
      </c>
      <c r="D66" s="238">
        <v>42.83</v>
      </c>
      <c r="E66" s="239"/>
      <c r="F66" s="240"/>
      <c r="G66" s="241"/>
      <c r="H66" s="242"/>
      <c r="I66" s="243"/>
      <c r="J66" s="244"/>
      <c r="K66" s="245"/>
      <c r="L66" s="246"/>
      <c r="M66" s="247"/>
      <c r="N66" s="248"/>
      <c r="O66" s="249">
        <f>E66+F66+G66+H66+I66+J66+K66+L66+M66+N66</f>
        <v>0</v>
      </c>
      <c r="P66" s="250"/>
      <c r="Q66" s="251"/>
      <c r="R66" s="252"/>
      <c r="S66" s="253"/>
      <c r="T66" s="254"/>
      <c r="U66" s="255">
        <f>P66+Q66+R66+S66+T66</f>
        <v>0</v>
      </c>
      <c r="V66" s="328"/>
      <c r="W66" s="256">
        <f>C66*BJ66</f>
        <v>0</v>
      </c>
      <c r="X66" s="257">
        <f>D66*O66+D66*U66*1.04+V66*1.15*D66</f>
        <v>0</v>
      </c>
      <c r="Y66" s="128"/>
      <c r="Z66" s="129"/>
      <c r="AA66" s="129"/>
      <c r="AB66" s="129"/>
      <c r="AC66" s="129"/>
      <c r="AD66" s="129">
        <f>U66*1</f>
        <v>0</v>
      </c>
      <c r="AE66" s="129">
        <f>U66*1</f>
        <v>0</v>
      </c>
      <c r="AF66" s="129"/>
      <c r="AG66" s="129"/>
      <c r="AH66" s="129"/>
      <c r="AI66" s="130"/>
      <c r="AJ66" s="258"/>
      <c r="AK66" s="259"/>
      <c r="AL66" s="259"/>
      <c r="AM66" s="259"/>
      <c r="AN66" s="259"/>
      <c r="AO66" s="260">
        <f>1*BJ66</f>
        <v>0</v>
      </c>
      <c r="AP66" s="258">
        <f>1.8*BJ66</f>
        <v>0</v>
      </c>
      <c r="AQ66" s="235"/>
      <c r="AR66" s="339"/>
      <c r="AS66" s="339"/>
      <c r="AT66" s="339"/>
      <c r="AU66" s="339"/>
      <c r="AV66" s="339"/>
      <c r="AW66" s="339"/>
      <c r="AX66" s="339">
        <v>1</v>
      </c>
      <c r="AY66" s="340"/>
      <c r="AZ66" s="341"/>
      <c r="BA66" s="339"/>
      <c r="BB66" s="339">
        <v>1</v>
      </c>
      <c r="BC66" s="339">
        <v>1</v>
      </c>
      <c r="BD66" s="339"/>
      <c r="BE66" s="339"/>
      <c r="BF66" s="339"/>
      <c r="BG66" s="339"/>
      <c r="BH66" s="342"/>
      <c r="BI66" s="340">
        <v>4</v>
      </c>
      <c r="BJ66" s="270">
        <f>O66+U66+V66</f>
        <v>0</v>
      </c>
      <c r="BK66" s="270">
        <f>BJ66*(AX66*'HARDWARE'!J4+BB66*'HARDWARE'!E6+BC66*'HARDWARE'!F7)</f>
        <v>0</v>
      </c>
    </row>
    <row r="67" ht="15.2" customHeight="1">
      <c r="A67" t="s" s="204">
        <v>144</v>
      </c>
      <c r="B67" t="s" s="319">
        <v>119</v>
      </c>
      <c r="C67" s="237">
        <v>8</v>
      </c>
      <c r="D67" s="238">
        <v>121</v>
      </c>
      <c r="E67" s="239"/>
      <c r="F67" s="240"/>
      <c r="G67" s="241"/>
      <c r="H67" s="242"/>
      <c r="I67" s="243"/>
      <c r="J67" s="244"/>
      <c r="K67" s="245"/>
      <c r="L67" s="246"/>
      <c r="M67" s="247"/>
      <c r="N67" s="248"/>
      <c r="O67" s="249">
        <f>E67+F67+G67+H67+I67+J67+K67+L67+M67+N67</f>
        <v>0</v>
      </c>
      <c r="P67" s="250"/>
      <c r="Q67" s="251"/>
      <c r="R67" s="252"/>
      <c r="S67" s="253"/>
      <c r="T67" s="254"/>
      <c r="U67" s="255">
        <f>P67+Q67+R67+S67+T67</f>
        <v>0</v>
      </c>
      <c r="V67" s="328"/>
      <c r="W67" s="256">
        <f>C67*BJ67</f>
        <v>0</v>
      </c>
      <c r="X67" s="257">
        <f>D67*O67+D67*U67*1.04+V67*1.15*D67</f>
        <v>0</v>
      </c>
      <c r="Y67" s="128"/>
      <c r="Z67" s="129"/>
      <c r="AA67" s="129">
        <f>U67*1</f>
        <v>0</v>
      </c>
      <c r="AB67" s="129">
        <f>U67*1</f>
        <v>0</v>
      </c>
      <c r="AC67" s="129">
        <f>U67*1</f>
        <v>0</v>
      </c>
      <c r="AD67" s="129">
        <f>U67*2</f>
        <v>0</v>
      </c>
      <c r="AE67" s="129"/>
      <c r="AF67" s="129"/>
      <c r="AG67" s="129"/>
      <c r="AH67" s="129"/>
      <c r="AI67" s="130"/>
      <c r="AJ67" s="258"/>
      <c r="AK67" s="259"/>
      <c r="AL67" s="259"/>
      <c r="AM67" s="259">
        <f>8*BJ67</f>
        <v>0</v>
      </c>
      <c r="AN67" s="259"/>
      <c r="AO67" s="265"/>
      <c r="AP67" s="258">
        <f>4.4*BJ67</f>
        <v>0</v>
      </c>
      <c r="AQ67" s="266"/>
      <c r="AR67" s="329"/>
      <c r="AS67" s="329">
        <v>3</v>
      </c>
      <c r="AT67" s="329">
        <v>3</v>
      </c>
      <c r="AU67" s="329"/>
      <c r="AV67" s="329"/>
      <c r="AW67" s="329"/>
      <c r="AX67" s="329">
        <v>2</v>
      </c>
      <c r="AY67" s="330"/>
      <c r="AZ67" s="331"/>
      <c r="BA67" s="329">
        <v>5</v>
      </c>
      <c r="BB67" s="329">
        <v>2</v>
      </c>
      <c r="BC67" s="329">
        <v>1</v>
      </c>
      <c r="BD67" s="329"/>
      <c r="BE67" s="329"/>
      <c r="BF67" s="329"/>
      <c r="BG67" s="329"/>
      <c r="BH67" s="334"/>
      <c r="BI67" s="330">
        <v>4</v>
      </c>
      <c r="BJ67" s="264">
        <f>O67+U67+V67</f>
        <v>0</v>
      </c>
      <c r="BK67" s="270">
        <f>BJ67*(AS67*'HARDWARE'!E4+AT67*'HARDWARE'!F4+AX67*'HARDWARE'!J4+BA67*'HARDWARE'!D6+BB67*'HARDWARE'!E6+BC67*'HARDWARE'!F7)</f>
        <v>0</v>
      </c>
    </row>
    <row r="68" ht="16.4" customHeight="1">
      <c r="A68" t="s" s="204">
        <v>145</v>
      </c>
      <c r="B68" t="s" s="319">
        <v>68</v>
      </c>
      <c r="C68" s="237">
        <v>1</v>
      </c>
      <c r="D68" s="238">
        <v>31</v>
      </c>
      <c r="E68" s="239"/>
      <c r="F68" s="240"/>
      <c r="G68" s="241"/>
      <c r="H68" s="242"/>
      <c r="I68" s="243"/>
      <c r="J68" s="244"/>
      <c r="K68" s="245"/>
      <c r="L68" s="246"/>
      <c r="M68" s="247"/>
      <c r="N68" s="248"/>
      <c r="O68" s="249">
        <f>E68+F68+G68+H68+I68+J68+K68+L68+M68+N68</f>
        <v>0</v>
      </c>
      <c r="P68" s="250"/>
      <c r="Q68" s="251"/>
      <c r="R68" s="252"/>
      <c r="S68" s="253"/>
      <c r="T68" s="254"/>
      <c r="U68" s="255">
        <f>P68+Q68+R68+S68+T68</f>
        <v>0</v>
      </c>
      <c r="V68" s="328"/>
      <c r="W68" s="256">
        <f>C68*BJ68</f>
        <v>0</v>
      </c>
      <c r="X68" s="257">
        <f>D68*O68+D68*U68*1.04+V68*1.15*D68</f>
        <v>0</v>
      </c>
      <c r="Y68" s="128"/>
      <c r="Z68" s="129"/>
      <c r="AA68" s="129"/>
      <c r="AB68" s="129">
        <f>U68*1</f>
        <v>0</v>
      </c>
      <c r="AC68" s="129">
        <f>U68*1</f>
        <v>0</v>
      </c>
      <c r="AD68" s="129">
        <f>U68*2</f>
        <v>0</v>
      </c>
      <c r="AE68" s="129"/>
      <c r="AF68" s="129"/>
      <c r="AG68" s="129"/>
      <c r="AH68" s="129"/>
      <c r="AI68" s="130"/>
      <c r="AJ68" s="258"/>
      <c r="AK68" s="259"/>
      <c r="AL68" s="259"/>
      <c r="AM68" s="259"/>
      <c r="AN68" s="259"/>
      <c r="AO68" s="260">
        <f>1*BJ68</f>
        <v>0</v>
      </c>
      <c r="AP68" s="258">
        <f>1.5*BJ68</f>
        <v>0</v>
      </c>
      <c r="AQ68" s="235"/>
      <c r="AR68" s="339"/>
      <c r="AS68" s="339"/>
      <c r="AT68" s="339"/>
      <c r="AU68" s="339"/>
      <c r="AV68" s="339">
        <v>1</v>
      </c>
      <c r="AW68" s="339"/>
      <c r="AX68" s="339"/>
      <c r="AY68" s="340"/>
      <c r="AZ68" s="341"/>
      <c r="BA68" s="339">
        <v>1</v>
      </c>
      <c r="BB68" s="339"/>
      <c r="BC68" s="339"/>
      <c r="BD68" s="339"/>
      <c r="BE68" s="339"/>
      <c r="BF68" s="339"/>
      <c r="BG68" s="339"/>
      <c r="BH68" s="342"/>
      <c r="BI68" s="340">
        <v>4</v>
      </c>
      <c r="BJ68" s="270">
        <f>O68+U68+V68</f>
        <v>0</v>
      </c>
      <c r="BK68" s="270">
        <f>BJ68*(AV68*'HARDWARE'!H4+BA68*'HARDWARE'!D6)</f>
        <v>0</v>
      </c>
    </row>
    <row r="69" ht="17.1" customHeight="1">
      <c r="A69" t="s" s="204">
        <v>146</v>
      </c>
      <c r="B69" t="s" s="319">
        <v>72</v>
      </c>
      <c r="C69" s="237">
        <v>2</v>
      </c>
      <c r="D69" s="238">
        <v>37</v>
      </c>
      <c r="E69" s="239"/>
      <c r="F69" s="240"/>
      <c r="G69" s="241"/>
      <c r="H69" s="242"/>
      <c r="I69" s="243"/>
      <c r="J69" s="244"/>
      <c r="K69" s="245"/>
      <c r="L69" s="246"/>
      <c r="M69" s="247"/>
      <c r="N69" s="248"/>
      <c r="O69" s="249">
        <f>E69+F69+G69+H69+I69+J69+K69+L69+M69+N69</f>
        <v>0</v>
      </c>
      <c r="P69" s="250"/>
      <c r="Q69" s="251"/>
      <c r="R69" s="252"/>
      <c r="S69" s="253"/>
      <c r="T69" s="254"/>
      <c r="U69" s="255">
        <f>P69+Q69+R69+S69+T69</f>
        <v>0</v>
      </c>
      <c r="V69" s="328"/>
      <c r="W69" s="256">
        <f>C69*BJ69</f>
        <v>0</v>
      </c>
      <c r="X69" s="257">
        <f>D69*O69+D69*U69*1.04+V69*1.15*D69</f>
        <v>0</v>
      </c>
      <c r="Y69" s="128"/>
      <c r="Z69" s="129"/>
      <c r="AA69" s="129"/>
      <c r="AB69" s="129"/>
      <c r="AC69" s="129"/>
      <c r="AD69" s="129"/>
      <c r="AE69" s="129">
        <f>U69*1</f>
        <v>0</v>
      </c>
      <c r="AF69" s="129"/>
      <c r="AG69" s="129"/>
      <c r="AH69" s="129">
        <f>U69*1</f>
        <v>0</v>
      </c>
      <c r="AI69" s="130">
        <f>U69*1</f>
        <v>0</v>
      </c>
      <c r="AJ69" s="258"/>
      <c r="AK69" s="259"/>
      <c r="AL69" s="259"/>
      <c r="AM69" s="259"/>
      <c r="AN69" s="259"/>
      <c r="AO69" s="260">
        <f>2*BJ69</f>
        <v>0</v>
      </c>
      <c r="AP69" s="258">
        <f>1.3*BJ69</f>
        <v>0</v>
      </c>
      <c r="AQ69" s="235"/>
      <c r="AR69" s="339"/>
      <c r="AS69" s="339"/>
      <c r="AT69" s="339"/>
      <c r="AU69" s="339"/>
      <c r="AV69" s="339"/>
      <c r="AW69" s="339"/>
      <c r="AX69" s="339"/>
      <c r="AY69" s="340"/>
      <c r="AZ69" s="341"/>
      <c r="BA69" s="339"/>
      <c r="BB69" s="339"/>
      <c r="BC69" s="339"/>
      <c r="BD69" s="339"/>
      <c r="BE69" s="339"/>
      <c r="BF69" s="339"/>
      <c r="BG69" s="339"/>
      <c r="BH69" s="342"/>
      <c r="BI69" t="s" s="337">
        <v>83</v>
      </c>
      <c r="BJ69" s="264">
        <f>O69+U69+V69</f>
        <v>0</v>
      </c>
      <c r="BK69" s="270">
        <v>0</v>
      </c>
    </row>
    <row r="70" ht="17.1" customHeight="1">
      <c r="A70" t="s" s="204">
        <v>147</v>
      </c>
      <c r="B70" t="s" s="319">
        <v>72</v>
      </c>
      <c r="C70" s="237">
        <v>2</v>
      </c>
      <c r="D70" s="238">
        <v>51.5</v>
      </c>
      <c r="E70" s="239"/>
      <c r="F70" s="240"/>
      <c r="G70" s="241"/>
      <c r="H70" s="242"/>
      <c r="I70" s="243"/>
      <c r="J70" s="244"/>
      <c r="K70" s="245"/>
      <c r="L70" s="246"/>
      <c r="M70" s="247"/>
      <c r="N70" s="248"/>
      <c r="O70" s="249">
        <f>E70+F70+G70+H70+I70+J70+K70+L70+M70+N70</f>
        <v>0</v>
      </c>
      <c r="P70" s="250"/>
      <c r="Q70" s="251"/>
      <c r="R70" s="252"/>
      <c r="S70" s="253"/>
      <c r="T70" s="254"/>
      <c r="U70" s="255">
        <f>P70+Q70+R70+S70+T70</f>
        <v>0</v>
      </c>
      <c r="V70" s="328"/>
      <c r="W70" s="256">
        <f>C70*BJ70</f>
        <v>0</v>
      </c>
      <c r="X70" s="257">
        <f>D70*O70+D70*U70*1.04+V70*1.15*D70</f>
        <v>0</v>
      </c>
      <c r="Y70" s="128"/>
      <c r="Z70" s="129"/>
      <c r="AA70" s="129"/>
      <c r="AB70" s="129"/>
      <c r="AC70" s="129"/>
      <c r="AD70" s="129"/>
      <c r="AE70" s="129"/>
      <c r="AF70" s="129"/>
      <c r="AG70" s="129">
        <f>U70*3</f>
        <v>0</v>
      </c>
      <c r="AH70" s="129"/>
      <c r="AI70" s="130"/>
      <c r="AJ70" s="258"/>
      <c r="AK70" s="259"/>
      <c r="AL70" s="259"/>
      <c r="AM70" s="259"/>
      <c r="AN70" s="259"/>
      <c r="AO70" s="260">
        <f>2*BJ70</f>
        <v>0</v>
      </c>
      <c r="AP70" s="258">
        <f>2.1*BJ70</f>
        <v>0</v>
      </c>
      <c r="AQ70" s="235"/>
      <c r="AR70" s="339"/>
      <c r="AS70" s="339"/>
      <c r="AT70" s="339"/>
      <c r="AU70" s="339"/>
      <c r="AV70" s="339"/>
      <c r="AW70" s="339"/>
      <c r="AX70" s="339"/>
      <c r="AY70" s="340"/>
      <c r="AZ70" s="341"/>
      <c r="BA70" s="339"/>
      <c r="BB70" s="339"/>
      <c r="BC70" s="339"/>
      <c r="BD70" s="339"/>
      <c r="BE70" s="339"/>
      <c r="BF70" s="339"/>
      <c r="BG70" s="339"/>
      <c r="BH70" s="342"/>
      <c r="BI70" t="s" s="337">
        <v>83</v>
      </c>
      <c r="BJ70" s="270">
        <f>O70+U70+V70</f>
        <v>0</v>
      </c>
      <c r="BK70" s="270">
        <v>0</v>
      </c>
    </row>
    <row r="71" ht="17" customHeight="1">
      <c r="A71" t="s" s="204">
        <v>148</v>
      </c>
      <c r="B71" t="s" s="319">
        <v>111</v>
      </c>
      <c r="C71" s="237">
        <v>1</v>
      </c>
      <c r="D71" s="238">
        <v>46.33</v>
      </c>
      <c r="E71" s="239"/>
      <c r="F71" s="240"/>
      <c r="G71" s="241"/>
      <c r="H71" s="242"/>
      <c r="I71" s="243"/>
      <c r="J71" s="244"/>
      <c r="K71" s="245"/>
      <c r="L71" s="246"/>
      <c r="M71" s="247"/>
      <c r="N71" s="248"/>
      <c r="O71" s="249">
        <f>E71+F71+G71+H71+I71+J71+K71+L71+M71+N71</f>
        <v>0</v>
      </c>
      <c r="P71" s="250"/>
      <c r="Q71" s="251"/>
      <c r="R71" s="252"/>
      <c r="S71" s="253"/>
      <c r="T71" s="254"/>
      <c r="U71" s="255">
        <f>P71+Q71+R71+S71+T71</f>
        <v>0</v>
      </c>
      <c r="V71" s="328"/>
      <c r="W71" s="256">
        <f>C71*BJ71</f>
        <v>0</v>
      </c>
      <c r="X71" s="257">
        <f>D71*O71+D71*U71*1.04+V71*1.15*D71</f>
        <v>0</v>
      </c>
      <c r="Y71" s="128"/>
      <c r="Z71" s="129"/>
      <c r="AA71" s="129">
        <f>U71*2</f>
        <v>0</v>
      </c>
      <c r="AB71" s="129">
        <f>U71*1</f>
        <v>0</v>
      </c>
      <c r="AC71" s="129">
        <f>U71*1</f>
        <v>0</v>
      </c>
      <c r="AD71" s="129">
        <f>U71*1</f>
        <v>0</v>
      </c>
      <c r="AE71" s="129"/>
      <c r="AF71" s="129"/>
      <c r="AG71" s="129"/>
      <c r="AH71" s="129"/>
      <c r="AI71" s="130"/>
      <c r="AJ71" s="258"/>
      <c r="AK71" s="259"/>
      <c r="AL71" s="259"/>
      <c r="AM71" s="259"/>
      <c r="AN71" s="259"/>
      <c r="AO71" s="260">
        <f>1*BJ71</f>
        <v>0</v>
      </c>
      <c r="AP71" s="258">
        <f>2.4*BJ71</f>
        <v>0</v>
      </c>
      <c r="AQ71" s="235"/>
      <c r="AR71" s="339"/>
      <c r="AS71" s="339"/>
      <c r="AT71" s="339"/>
      <c r="AU71" s="339"/>
      <c r="AV71" s="339"/>
      <c r="AW71" s="339"/>
      <c r="AX71" s="339"/>
      <c r="AY71" s="340"/>
      <c r="AZ71" s="341"/>
      <c r="BA71" s="339"/>
      <c r="BB71" s="339">
        <v>4</v>
      </c>
      <c r="BC71" s="339"/>
      <c r="BD71" s="339"/>
      <c r="BE71" s="339"/>
      <c r="BF71" s="339"/>
      <c r="BG71" s="339"/>
      <c r="BH71" s="342"/>
      <c r="BI71" s="340">
        <v>4</v>
      </c>
      <c r="BJ71" s="264">
        <f>O71+U71+V71</f>
        <v>0</v>
      </c>
      <c r="BK71" s="270">
        <f>BJ71*(BB71*'HARDWARE'!E6)</f>
        <v>0</v>
      </c>
    </row>
    <row r="72" ht="17" customHeight="1">
      <c r="A72" t="s" s="204">
        <v>149</v>
      </c>
      <c r="B72" t="s" s="319">
        <v>100</v>
      </c>
      <c r="C72" s="237">
        <v>6</v>
      </c>
      <c r="D72" s="238">
        <v>51.5</v>
      </c>
      <c r="E72" s="239"/>
      <c r="F72" s="240"/>
      <c r="G72" s="241"/>
      <c r="H72" s="242"/>
      <c r="I72" s="243"/>
      <c r="J72" s="244"/>
      <c r="K72" s="245"/>
      <c r="L72" s="246"/>
      <c r="M72" s="247"/>
      <c r="N72" s="248"/>
      <c r="O72" s="249">
        <f>E72+F72+G72+H72+I72+J72+K72+L72+M72+N72</f>
        <v>0</v>
      </c>
      <c r="P72" s="250"/>
      <c r="Q72" s="251"/>
      <c r="R72" s="252"/>
      <c r="S72" s="253"/>
      <c r="T72" s="254"/>
      <c r="U72" s="255">
        <f>P72+Q72+R72+S72+T72</f>
        <v>0</v>
      </c>
      <c r="V72" s="349"/>
      <c r="W72" s="256">
        <f>C72*BJ72</f>
        <v>0</v>
      </c>
      <c r="X72" s="257">
        <f>D72*O72+D72*U72*1.04+V72*1.15*D72</f>
        <v>0</v>
      </c>
      <c r="Y72" s="128"/>
      <c r="Z72" s="129"/>
      <c r="AA72" s="129"/>
      <c r="AB72" s="129"/>
      <c r="AC72" s="129">
        <f>U72*3</f>
        <v>0</v>
      </c>
      <c r="AD72" s="129">
        <f>U72*1</f>
        <v>0</v>
      </c>
      <c r="AE72" s="129">
        <f>U72*1</f>
        <v>0</v>
      </c>
      <c r="AF72" s="129"/>
      <c r="AG72" s="129"/>
      <c r="AH72" s="129"/>
      <c r="AI72" s="130"/>
      <c r="AJ72" s="258"/>
      <c r="AK72" s="259"/>
      <c r="AL72" s="259">
        <f>3*BJ72</f>
        <v>0</v>
      </c>
      <c r="AM72" s="259">
        <f>3*BJ72</f>
        <v>0</v>
      </c>
      <c r="AN72" s="259"/>
      <c r="AO72" s="265"/>
      <c r="AP72" s="258">
        <f>1.8*BJ72</f>
        <v>0</v>
      </c>
      <c r="AQ72" s="266"/>
      <c r="AR72" s="329">
        <v>3</v>
      </c>
      <c r="AS72" s="329"/>
      <c r="AT72" s="329">
        <v>1</v>
      </c>
      <c r="AU72" s="329">
        <v>2</v>
      </c>
      <c r="AV72" s="329"/>
      <c r="AW72" s="329"/>
      <c r="AX72" s="329"/>
      <c r="AY72" s="330"/>
      <c r="AZ72" s="331"/>
      <c r="BA72" s="329">
        <v>3</v>
      </c>
      <c r="BB72" s="329">
        <v>3</v>
      </c>
      <c r="BC72" s="329"/>
      <c r="BD72" s="329"/>
      <c r="BE72" s="329"/>
      <c r="BF72" s="329"/>
      <c r="BG72" s="329"/>
      <c r="BH72" s="334"/>
      <c r="BI72" s="330">
        <v>4</v>
      </c>
      <c r="BJ72" s="270">
        <f>O72+U72+V72</f>
        <v>0</v>
      </c>
      <c r="BK72" s="270">
        <f>BJ72*(AR72*'HARDWARE'!D4+AT72*'HARDWARE'!F4+AU72*'HARDWARE'!G5+BA72*'HARDWARE'!D6+BB72*'HARDWARE'!E6)</f>
        <v>0</v>
      </c>
    </row>
    <row r="73" ht="17" customHeight="1">
      <c r="A73" t="s" s="346">
        <v>150</v>
      </c>
      <c r="B73" t="s" s="319">
        <v>111</v>
      </c>
      <c r="C73" s="350">
        <v>1</v>
      </c>
      <c r="D73" t="s" s="351">
        <v>76</v>
      </c>
      <c r="E73" s="239"/>
      <c r="F73" s="240"/>
      <c r="G73" s="241"/>
      <c r="H73" s="242"/>
      <c r="I73" s="243"/>
      <c r="J73" s="244"/>
      <c r="K73" s="245"/>
      <c r="L73" s="246"/>
      <c r="M73" s="247"/>
      <c r="N73" s="248"/>
      <c r="O73" s="249">
        <f>E73+F73+G73+H73+I73+J73+K73+L73+M73+N73</f>
        <v>0</v>
      </c>
      <c r="P73" s="250"/>
      <c r="Q73" s="251"/>
      <c r="R73" s="252"/>
      <c r="S73" s="253"/>
      <c r="T73" s="254"/>
      <c r="U73" s="255">
        <f>P73+Q73+R73+S73+T73</f>
        <v>0</v>
      </c>
      <c r="V73" t="s" s="225">
        <v>66</v>
      </c>
      <c r="W73" s="256">
        <f>C73*BJ73</f>
        <v>0</v>
      </c>
      <c r="X73" t="s" s="335">
        <v>76</v>
      </c>
      <c r="Y73" s="128"/>
      <c r="Z73" s="129"/>
      <c r="AA73" s="129"/>
      <c r="AB73" s="129"/>
      <c r="AC73" s="129"/>
      <c r="AD73" s="129">
        <f>U73*1</f>
        <v>0</v>
      </c>
      <c r="AE73" s="129"/>
      <c r="AF73" s="129"/>
      <c r="AG73" s="129"/>
      <c r="AH73" s="129"/>
      <c r="AI73" s="130"/>
      <c r="AJ73" s="258"/>
      <c r="AK73" s="259"/>
      <c r="AL73" s="259"/>
      <c r="AM73" s="259"/>
      <c r="AN73" s="259"/>
      <c r="AO73" s="265"/>
      <c r="AP73" s="258">
        <v>0</v>
      </c>
      <c r="AQ73" s="266"/>
      <c r="AR73" s="329"/>
      <c r="AS73" s="329"/>
      <c r="AT73" s="329"/>
      <c r="AU73" s="329"/>
      <c r="AV73" s="329"/>
      <c r="AW73" s="329"/>
      <c r="AX73" s="329"/>
      <c r="AY73" s="330"/>
      <c r="AZ73" s="331"/>
      <c r="BA73" s="329"/>
      <c r="BB73" s="329"/>
      <c r="BC73" s="329"/>
      <c r="BD73" s="329"/>
      <c r="BE73" s="329"/>
      <c r="BF73" s="329"/>
      <c r="BG73" s="329"/>
      <c r="BH73" s="334"/>
      <c r="BI73" s="330">
        <v>5</v>
      </c>
      <c r="BJ73" s="270">
        <f>O73+U73</f>
        <v>0</v>
      </c>
      <c r="BK73" t="s" s="275">
        <v>77</v>
      </c>
    </row>
    <row r="74" ht="17" customHeight="1">
      <c r="A74" t="s" s="346">
        <v>151</v>
      </c>
      <c r="B74" t="s" s="319">
        <v>111</v>
      </c>
      <c r="C74" s="350">
        <v>1</v>
      </c>
      <c r="D74" t="s" s="351">
        <v>76</v>
      </c>
      <c r="E74" s="239"/>
      <c r="F74" s="240"/>
      <c r="G74" s="241"/>
      <c r="H74" s="242"/>
      <c r="I74" s="243"/>
      <c r="J74" s="244"/>
      <c r="K74" s="245"/>
      <c r="L74" s="246"/>
      <c r="M74" s="247"/>
      <c r="N74" s="248"/>
      <c r="O74" s="249">
        <f>E74+F74+G74+H74+I74+J74+K74+L74+M74+N74</f>
        <v>0</v>
      </c>
      <c r="P74" s="250"/>
      <c r="Q74" s="251"/>
      <c r="R74" s="252"/>
      <c r="S74" s="253"/>
      <c r="T74" s="254"/>
      <c r="U74" s="255">
        <f>P74+Q74+R74+S74+T74</f>
        <v>0</v>
      </c>
      <c r="V74" t="s" s="225">
        <v>66</v>
      </c>
      <c r="W74" s="256">
        <f>C74*BJ74</f>
        <v>0</v>
      </c>
      <c r="X74" t="s" s="335">
        <v>76</v>
      </c>
      <c r="Y74" s="128"/>
      <c r="Z74" s="129"/>
      <c r="AA74" s="129"/>
      <c r="AB74" s="129"/>
      <c r="AC74" s="129"/>
      <c r="AD74" s="129">
        <f>U74*1</f>
        <v>0</v>
      </c>
      <c r="AE74" s="129"/>
      <c r="AF74" s="129"/>
      <c r="AG74" s="129"/>
      <c r="AH74" s="129"/>
      <c r="AI74" s="130"/>
      <c r="AJ74" s="258"/>
      <c r="AK74" s="259"/>
      <c r="AL74" s="259"/>
      <c r="AM74" s="259"/>
      <c r="AN74" s="259"/>
      <c r="AO74" s="265"/>
      <c r="AP74" s="258">
        <v>0</v>
      </c>
      <c r="AQ74" s="266"/>
      <c r="AR74" s="329"/>
      <c r="AS74" s="329"/>
      <c r="AT74" s="329"/>
      <c r="AU74" s="329"/>
      <c r="AV74" s="329"/>
      <c r="AW74" s="329"/>
      <c r="AX74" s="329"/>
      <c r="AY74" s="330"/>
      <c r="AZ74" s="331"/>
      <c r="BA74" s="329"/>
      <c r="BB74" s="329"/>
      <c r="BC74" s="329"/>
      <c r="BD74" s="329"/>
      <c r="BE74" s="329"/>
      <c r="BF74" s="329"/>
      <c r="BG74" s="329"/>
      <c r="BH74" s="334"/>
      <c r="BI74" s="330">
        <v>5</v>
      </c>
      <c r="BJ74" s="270">
        <f>O74+U74</f>
        <v>0</v>
      </c>
      <c r="BK74" t="s" s="275">
        <v>77</v>
      </c>
    </row>
    <row r="75" ht="17" customHeight="1">
      <c r="A75" t="s" s="346">
        <v>152</v>
      </c>
      <c r="B75" t="s" s="319">
        <v>111</v>
      </c>
      <c r="C75" s="350">
        <v>1</v>
      </c>
      <c r="D75" t="s" s="351">
        <v>76</v>
      </c>
      <c r="E75" s="239"/>
      <c r="F75" s="240"/>
      <c r="G75" s="241"/>
      <c r="H75" s="242"/>
      <c r="I75" s="243"/>
      <c r="J75" s="244"/>
      <c r="K75" s="245"/>
      <c r="L75" s="246"/>
      <c r="M75" s="247"/>
      <c r="N75" s="248"/>
      <c r="O75" s="249">
        <f>E75+F75+G75+H75+I75+J75+K75+L75+M75+N75</f>
        <v>0</v>
      </c>
      <c r="P75" s="250"/>
      <c r="Q75" s="251"/>
      <c r="R75" s="252"/>
      <c r="S75" s="253"/>
      <c r="T75" s="254"/>
      <c r="U75" s="255">
        <f>P75+Q75+R75+S75+T75</f>
        <v>0</v>
      </c>
      <c r="V75" t="s" s="225">
        <v>66</v>
      </c>
      <c r="W75" s="256">
        <f>C75*BJ75</f>
        <v>0</v>
      </c>
      <c r="X75" t="s" s="335">
        <v>76</v>
      </c>
      <c r="Y75" s="128"/>
      <c r="Z75" s="129"/>
      <c r="AA75" s="129"/>
      <c r="AB75" s="129"/>
      <c r="AC75" s="129"/>
      <c r="AD75" s="129">
        <f>U75*1</f>
        <v>0</v>
      </c>
      <c r="AE75" s="129"/>
      <c r="AF75" s="129"/>
      <c r="AG75" s="129"/>
      <c r="AH75" s="129"/>
      <c r="AI75" s="130"/>
      <c r="AJ75" s="258"/>
      <c r="AK75" s="259"/>
      <c r="AL75" s="259"/>
      <c r="AM75" s="259"/>
      <c r="AN75" s="259"/>
      <c r="AO75" s="265"/>
      <c r="AP75" s="258">
        <v>0</v>
      </c>
      <c r="AQ75" s="266"/>
      <c r="AR75" s="329"/>
      <c r="AS75" s="329"/>
      <c r="AT75" s="329"/>
      <c r="AU75" s="329"/>
      <c r="AV75" s="329"/>
      <c r="AW75" s="329"/>
      <c r="AX75" s="329"/>
      <c r="AY75" s="330"/>
      <c r="AZ75" s="331"/>
      <c r="BA75" s="329"/>
      <c r="BB75" s="329"/>
      <c r="BC75" s="329"/>
      <c r="BD75" s="329"/>
      <c r="BE75" s="329"/>
      <c r="BF75" s="329"/>
      <c r="BG75" s="329"/>
      <c r="BH75" s="334"/>
      <c r="BI75" s="330">
        <v>5</v>
      </c>
      <c r="BJ75" s="270">
        <f>O75+U75</f>
        <v>0</v>
      </c>
      <c r="BK75" t="s" s="275">
        <v>77</v>
      </c>
    </row>
    <row r="76" ht="17" customHeight="1">
      <c r="A76" t="s" s="346">
        <v>153</v>
      </c>
      <c r="B76" t="s" s="319">
        <v>111</v>
      </c>
      <c r="C76" s="350">
        <v>1</v>
      </c>
      <c r="D76" t="s" s="351">
        <v>76</v>
      </c>
      <c r="E76" s="239"/>
      <c r="F76" s="240"/>
      <c r="G76" s="241"/>
      <c r="H76" s="242"/>
      <c r="I76" s="243"/>
      <c r="J76" s="244"/>
      <c r="K76" s="245"/>
      <c r="L76" s="246"/>
      <c r="M76" s="247"/>
      <c r="N76" s="248"/>
      <c r="O76" s="249">
        <f>E76+F76+G76+H76+I76+J76+K76+L76+M76+N76</f>
        <v>0</v>
      </c>
      <c r="P76" s="250"/>
      <c r="Q76" s="251"/>
      <c r="R76" s="252"/>
      <c r="S76" s="253"/>
      <c r="T76" s="254"/>
      <c r="U76" s="255">
        <f>P76+Q76+R76+S76+T76</f>
        <v>0</v>
      </c>
      <c r="V76" t="s" s="225">
        <v>66</v>
      </c>
      <c r="W76" s="256">
        <f>C76*BJ76</f>
        <v>0</v>
      </c>
      <c r="X76" t="s" s="335">
        <v>76</v>
      </c>
      <c r="Y76" s="128"/>
      <c r="Z76" s="129"/>
      <c r="AA76" s="129"/>
      <c r="AB76" s="129"/>
      <c r="AC76" s="129"/>
      <c r="AD76" s="129">
        <f>U76*1</f>
        <v>0</v>
      </c>
      <c r="AE76" s="129"/>
      <c r="AF76" s="129"/>
      <c r="AG76" s="129"/>
      <c r="AH76" s="129"/>
      <c r="AI76" s="130"/>
      <c r="AJ76" s="258"/>
      <c r="AK76" s="259"/>
      <c r="AL76" s="259"/>
      <c r="AM76" s="259"/>
      <c r="AN76" s="259"/>
      <c r="AO76" s="265"/>
      <c r="AP76" s="258">
        <v>0</v>
      </c>
      <c r="AQ76" s="266"/>
      <c r="AR76" s="329"/>
      <c r="AS76" s="329"/>
      <c r="AT76" s="329"/>
      <c r="AU76" s="329"/>
      <c r="AV76" s="329"/>
      <c r="AW76" s="329"/>
      <c r="AX76" s="329"/>
      <c r="AY76" s="330"/>
      <c r="AZ76" s="331"/>
      <c r="BA76" s="329"/>
      <c r="BB76" s="329"/>
      <c r="BC76" s="329"/>
      <c r="BD76" s="329"/>
      <c r="BE76" s="329"/>
      <c r="BF76" s="329"/>
      <c r="BG76" s="329"/>
      <c r="BH76" s="334"/>
      <c r="BI76" s="330">
        <v>5</v>
      </c>
      <c r="BJ76" s="270">
        <f>O76+U76</f>
        <v>0</v>
      </c>
      <c r="BK76" t="s" s="275">
        <v>77</v>
      </c>
    </row>
    <row r="77" ht="17" customHeight="1">
      <c r="A77" t="s" s="346">
        <v>154</v>
      </c>
      <c r="B77" t="s" s="319">
        <v>111</v>
      </c>
      <c r="C77" s="350">
        <v>1</v>
      </c>
      <c r="D77" t="s" s="351">
        <v>76</v>
      </c>
      <c r="E77" s="239"/>
      <c r="F77" s="240"/>
      <c r="G77" s="241"/>
      <c r="H77" s="242"/>
      <c r="I77" s="243"/>
      <c r="J77" s="244"/>
      <c r="K77" s="245"/>
      <c r="L77" s="246"/>
      <c r="M77" s="247"/>
      <c r="N77" s="248"/>
      <c r="O77" s="249">
        <f>E77+F77+G77+H77+I77+J77+K77+L77+M77+N77</f>
        <v>0</v>
      </c>
      <c r="P77" s="250"/>
      <c r="Q77" s="251"/>
      <c r="R77" s="252"/>
      <c r="S77" s="253"/>
      <c r="T77" s="254"/>
      <c r="U77" s="255">
        <f>P77+Q77+R77+S77+T77</f>
        <v>0</v>
      </c>
      <c r="V77" t="s" s="225">
        <v>66</v>
      </c>
      <c r="W77" s="256">
        <f>C77*BJ77</f>
        <v>0</v>
      </c>
      <c r="X77" t="s" s="335">
        <v>76</v>
      </c>
      <c r="Y77" s="128"/>
      <c r="Z77" s="129"/>
      <c r="AA77" s="129"/>
      <c r="AB77" s="129"/>
      <c r="AC77" s="129"/>
      <c r="AD77" s="129">
        <f>U77*1</f>
        <v>0</v>
      </c>
      <c r="AE77" s="129"/>
      <c r="AF77" s="129"/>
      <c r="AG77" s="129"/>
      <c r="AH77" s="129"/>
      <c r="AI77" s="130"/>
      <c r="AJ77" s="258"/>
      <c r="AK77" s="259"/>
      <c r="AL77" s="259"/>
      <c r="AM77" s="259"/>
      <c r="AN77" s="259"/>
      <c r="AO77" s="265"/>
      <c r="AP77" s="258">
        <v>0</v>
      </c>
      <c r="AQ77" s="266"/>
      <c r="AR77" s="329"/>
      <c r="AS77" s="329"/>
      <c r="AT77" s="329"/>
      <c r="AU77" s="329"/>
      <c r="AV77" s="329"/>
      <c r="AW77" s="329"/>
      <c r="AX77" s="329"/>
      <c r="AY77" s="330"/>
      <c r="AZ77" s="331"/>
      <c r="BA77" s="329"/>
      <c r="BB77" s="329"/>
      <c r="BC77" s="329"/>
      <c r="BD77" s="329"/>
      <c r="BE77" s="329"/>
      <c r="BF77" s="329"/>
      <c r="BG77" s="329"/>
      <c r="BH77" s="334"/>
      <c r="BI77" s="330">
        <v>5</v>
      </c>
      <c r="BJ77" s="270">
        <f>O77+U77</f>
        <v>0</v>
      </c>
      <c r="BK77" t="s" s="275">
        <v>77</v>
      </c>
    </row>
    <row r="78" ht="17" customHeight="1">
      <c r="A78" t="s" s="346">
        <v>155</v>
      </c>
      <c r="B78" t="s" s="319">
        <v>111</v>
      </c>
      <c r="C78" s="350">
        <v>1</v>
      </c>
      <c r="D78" t="s" s="351">
        <v>76</v>
      </c>
      <c r="E78" s="239"/>
      <c r="F78" s="240"/>
      <c r="G78" s="241"/>
      <c r="H78" s="242"/>
      <c r="I78" s="243"/>
      <c r="J78" s="244"/>
      <c r="K78" s="245"/>
      <c r="L78" s="246"/>
      <c r="M78" s="247"/>
      <c r="N78" s="248"/>
      <c r="O78" s="249">
        <f>E78+F78+G78+H78+I78+J78+K78+L78+M78+N78</f>
        <v>0</v>
      </c>
      <c r="P78" s="250"/>
      <c r="Q78" s="251"/>
      <c r="R78" s="252"/>
      <c r="S78" s="253"/>
      <c r="T78" s="254"/>
      <c r="U78" s="255">
        <f>P78+Q78+R78+S78+T78</f>
        <v>0</v>
      </c>
      <c r="V78" t="s" s="225">
        <v>66</v>
      </c>
      <c r="W78" s="256">
        <f>C78*BJ78</f>
        <v>0</v>
      </c>
      <c r="X78" t="s" s="335">
        <v>76</v>
      </c>
      <c r="Y78" s="128"/>
      <c r="Z78" s="129"/>
      <c r="AA78" s="129"/>
      <c r="AB78" s="129"/>
      <c r="AC78" s="129"/>
      <c r="AD78" s="129">
        <f>U78*1</f>
        <v>0</v>
      </c>
      <c r="AE78" s="129"/>
      <c r="AF78" s="129"/>
      <c r="AG78" s="129"/>
      <c r="AH78" s="129"/>
      <c r="AI78" s="130"/>
      <c r="AJ78" s="258"/>
      <c r="AK78" s="259"/>
      <c r="AL78" s="259"/>
      <c r="AM78" s="259"/>
      <c r="AN78" s="259"/>
      <c r="AO78" s="265"/>
      <c r="AP78" s="258">
        <v>0</v>
      </c>
      <c r="AQ78" s="266"/>
      <c r="AR78" s="329"/>
      <c r="AS78" s="329"/>
      <c r="AT78" s="329"/>
      <c r="AU78" s="329"/>
      <c r="AV78" s="329"/>
      <c r="AW78" s="329"/>
      <c r="AX78" s="329"/>
      <c r="AY78" s="330"/>
      <c r="AZ78" s="331"/>
      <c r="BA78" s="329"/>
      <c r="BB78" s="329"/>
      <c r="BC78" s="329"/>
      <c r="BD78" s="329"/>
      <c r="BE78" s="329"/>
      <c r="BF78" s="329"/>
      <c r="BG78" s="329"/>
      <c r="BH78" s="334"/>
      <c r="BI78" s="330">
        <v>5</v>
      </c>
      <c r="BJ78" s="270">
        <f>O78+U78</f>
        <v>0</v>
      </c>
      <c r="BK78" t="s" s="275">
        <v>77</v>
      </c>
    </row>
    <row r="79" ht="17" customHeight="1">
      <c r="A79" t="s" s="346">
        <v>156</v>
      </c>
      <c r="B79" t="s" s="319">
        <v>68</v>
      </c>
      <c r="C79" s="350">
        <v>1</v>
      </c>
      <c r="D79" s="352">
        <v>54.33</v>
      </c>
      <c r="E79" s="239"/>
      <c r="F79" s="240"/>
      <c r="G79" s="241"/>
      <c r="H79" s="242"/>
      <c r="I79" s="243"/>
      <c r="J79" s="244"/>
      <c r="K79" s="245"/>
      <c r="L79" s="246"/>
      <c r="M79" s="247"/>
      <c r="N79" s="248"/>
      <c r="O79" s="249">
        <f>E79+F79+G79+H79+I79+J79+K79+L79+M79+N79</f>
        <v>0</v>
      </c>
      <c r="P79" s="250"/>
      <c r="Q79" s="251"/>
      <c r="R79" s="252"/>
      <c r="S79" s="253"/>
      <c r="T79" s="254"/>
      <c r="U79" s="255">
        <f>P79+Q79+R79+S79+T79</f>
        <v>0</v>
      </c>
      <c r="V79" s="321"/>
      <c r="W79" s="256">
        <f>C79*BJ79</f>
        <v>0</v>
      </c>
      <c r="X79" s="257">
        <f>D79*O79+D79*U79*1.04+V79*1.15*D79</f>
        <v>0</v>
      </c>
      <c r="Y79" s="128"/>
      <c r="Z79" s="129"/>
      <c r="AA79" s="129">
        <f>U79*4</f>
        <v>0</v>
      </c>
      <c r="AB79" s="129">
        <f>U79*5</f>
        <v>0</v>
      </c>
      <c r="AC79" s="129">
        <f>U79*1</f>
        <v>0</v>
      </c>
      <c r="AD79" s="129"/>
      <c r="AE79" s="129"/>
      <c r="AF79" s="129"/>
      <c r="AG79" s="129"/>
      <c r="AH79" s="129"/>
      <c r="AI79" s="130"/>
      <c r="AJ79" s="258"/>
      <c r="AK79" s="259"/>
      <c r="AL79" s="259"/>
      <c r="AM79" s="259"/>
      <c r="AN79" s="259"/>
      <c r="AO79" s="260">
        <f>1*BJ79</f>
        <v>0</v>
      </c>
      <c r="AP79" s="258">
        <f>1.9*BJ79</f>
        <v>0</v>
      </c>
      <c r="AQ79" s="235"/>
      <c r="AR79" s="339"/>
      <c r="AS79" s="339"/>
      <c r="AT79" s="339"/>
      <c r="AU79" s="339"/>
      <c r="AV79" s="339"/>
      <c r="AW79" s="339"/>
      <c r="AX79" s="339">
        <v>1</v>
      </c>
      <c r="AY79" s="340"/>
      <c r="AZ79" s="341"/>
      <c r="BA79" s="339"/>
      <c r="BB79" s="339"/>
      <c r="BC79" s="339"/>
      <c r="BD79" s="339">
        <v>2</v>
      </c>
      <c r="BE79" s="339"/>
      <c r="BF79" s="339"/>
      <c r="BG79" s="339"/>
      <c r="BH79" s="342"/>
      <c r="BI79" s="340">
        <v>4</v>
      </c>
      <c r="BJ79" s="264">
        <f>O79+U79+V79</f>
        <v>0</v>
      </c>
      <c r="BK79" s="270">
        <f>BJ79*(AX79*'HARDWARE'!J4+BD79*'HARDWARE'!F6)</f>
        <v>0</v>
      </c>
    </row>
    <row r="80" ht="17" customHeight="1">
      <c r="A80" t="s" s="346">
        <v>157</v>
      </c>
      <c r="B80" t="s" s="319">
        <v>119</v>
      </c>
      <c r="C80" s="350">
        <v>1</v>
      </c>
      <c r="D80" s="353">
        <v>84.5</v>
      </c>
      <c r="E80" s="239"/>
      <c r="F80" s="240"/>
      <c r="G80" s="241"/>
      <c r="H80" s="242"/>
      <c r="I80" s="243"/>
      <c r="J80" s="244"/>
      <c r="K80" s="245"/>
      <c r="L80" s="246"/>
      <c r="M80" s="247"/>
      <c r="N80" s="248"/>
      <c r="O80" s="249">
        <f>E80+F80+G80+H80+I80+J80+K80+L80+M80+N80</f>
        <v>0</v>
      </c>
      <c r="P80" s="250"/>
      <c r="Q80" s="251"/>
      <c r="R80" s="252"/>
      <c r="S80" s="253"/>
      <c r="T80" s="254"/>
      <c r="U80" s="255">
        <f>P80+Q80+R80+S80+T80</f>
        <v>0</v>
      </c>
      <c r="V80" s="328"/>
      <c r="W80" s="256">
        <f>C80*BJ80</f>
        <v>0</v>
      </c>
      <c r="X80" s="257">
        <f>D80*O80+D80*U80*1.04+V80*1.15*D80</f>
        <v>0</v>
      </c>
      <c r="Y80" s="128"/>
      <c r="Z80" s="129"/>
      <c r="AA80" s="129"/>
      <c r="AB80" s="129"/>
      <c r="AC80" s="129"/>
      <c r="AD80" s="129"/>
      <c r="AE80" s="129"/>
      <c r="AF80" s="129"/>
      <c r="AG80" s="129"/>
      <c r="AH80" s="129"/>
      <c r="AI80" s="130"/>
      <c r="AJ80" s="258"/>
      <c r="AK80" s="259"/>
      <c r="AL80" s="259"/>
      <c r="AM80" s="259"/>
      <c r="AN80" s="259"/>
      <c r="AO80" s="260">
        <f>1*BJ80</f>
        <v>0</v>
      </c>
      <c r="AP80" s="258">
        <f>2.1*BJ80</f>
        <v>0</v>
      </c>
      <c r="AQ80" s="235"/>
      <c r="AR80" s="339"/>
      <c r="AS80" s="339"/>
      <c r="AT80" s="339"/>
      <c r="AU80" s="339"/>
      <c r="AV80" s="339">
        <v>1</v>
      </c>
      <c r="AW80" s="339"/>
      <c r="AX80" s="339"/>
      <c r="AY80" s="340"/>
      <c r="AZ80" s="341"/>
      <c r="BA80" s="339"/>
      <c r="BB80" s="339"/>
      <c r="BC80" s="339">
        <v>5</v>
      </c>
      <c r="BD80" s="339">
        <v>1</v>
      </c>
      <c r="BE80" s="339"/>
      <c r="BF80" s="339"/>
      <c r="BG80" s="339"/>
      <c r="BH80" s="342"/>
      <c r="BI80" s="340">
        <v>4</v>
      </c>
      <c r="BJ80" s="270">
        <f>O80+U80+V80</f>
        <v>0</v>
      </c>
      <c r="BK80" s="270">
        <f>BJ80*(AV80*'HARDWARE'!H4+BC80*'HARDWARE'!F6+BD80*'HARDWARE'!G6)</f>
        <v>0</v>
      </c>
    </row>
    <row r="81" ht="17.5" customHeight="1">
      <c r="A81" t="s" s="346">
        <v>158</v>
      </c>
      <c r="B81" t="s" s="319">
        <v>65</v>
      </c>
      <c r="C81" s="255">
        <v>1</v>
      </c>
      <c r="D81" s="352">
        <v>55.33</v>
      </c>
      <c r="E81" s="239"/>
      <c r="F81" s="240"/>
      <c r="G81" s="241"/>
      <c r="H81" s="242"/>
      <c r="I81" s="243"/>
      <c r="J81" s="244"/>
      <c r="K81" s="245"/>
      <c r="L81" s="246"/>
      <c r="M81" s="247"/>
      <c r="N81" s="248"/>
      <c r="O81" s="249">
        <f>E81+F81+G81+H81+I81+J81+K81+L81+M81+N81</f>
        <v>0</v>
      </c>
      <c r="P81" s="250"/>
      <c r="Q81" s="251"/>
      <c r="R81" s="252"/>
      <c r="S81" s="253"/>
      <c r="T81" s="254"/>
      <c r="U81" s="255">
        <f>P81+Q81+R81+S81+T81</f>
        <v>0</v>
      </c>
      <c r="V81" s="328"/>
      <c r="W81" s="256">
        <f>C81*BJ81</f>
        <v>0</v>
      </c>
      <c r="X81" s="257">
        <f>D81*O81+D81*U81*1.04+V81*1.15*D81</f>
        <v>0</v>
      </c>
      <c r="Y81" s="128"/>
      <c r="Z81" s="129"/>
      <c r="AA81" s="129"/>
      <c r="AB81" s="129"/>
      <c r="AC81" s="129"/>
      <c r="AD81" s="129"/>
      <c r="AE81" s="129"/>
      <c r="AF81" s="129"/>
      <c r="AG81" s="129"/>
      <c r="AH81" s="129"/>
      <c r="AI81" s="130"/>
      <c r="AJ81" s="258"/>
      <c r="AK81" s="259"/>
      <c r="AL81" s="259"/>
      <c r="AM81" s="259"/>
      <c r="AN81" s="259"/>
      <c r="AO81" s="260">
        <f>1*BJ81</f>
        <v>0</v>
      </c>
      <c r="AP81" s="258">
        <f>1.9*BJ81</f>
        <v>0</v>
      </c>
      <c r="AQ81" s="266"/>
      <c r="AR81" s="329"/>
      <c r="AS81" s="329"/>
      <c r="AT81" s="329"/>
      <c r="AU81" s="329"/>
      <c r="AV81" s="329"/>
      <c r="AW81" s="329"/>
      <c r="AX81" s="329"/>
      <c r="AY81" s="330">
        <v>1</v>
      </c>
      <c r="AZ81" s="331"/>
      <c r="BA81" s="329">
        <v>1</v>
      </c>
      <c r="BB81" s="329">
        <v>3</v>
      </c>
      <c r="BC81" s="329"/>
      <c r="BD81" s="329"/>
      <c r="BE81" s="329"/>
      <c r="BF81" s="329"/>
      <c r="BG81" s="329"/>
      <c r="BH81" s="334"/>
      <c r="BI81" s="330">
        <v>4</v>
      </c>
      <c r="BJ81" s="264">
        <f>O81+U81+V81</f>
        <v>0</v>
      </c>
      <c r="BK81" s="270">
        <f>BJ81*(AY81*'HARDWARE'!K4+BA81*'HARDWARE'!D6+BB81*'HARDWARE'!E6)</f>
        <v>0</v>
      </c>
    </row>
    <row r="82" ht="17.5" customHeight="1">
      <c r="A82" t="s" s="346">
        <v>159</v>
      </c>
      <c r="B82" t="s" s="319">
        <v>65</v>
      </c>
      <c r="C82" s="255">
        <v>1</v>
      </c>
      <c r="D82" s="352">
        <v>67.67</v>
      </c>
      <c r="E82" s="239"/>
      <c r="F82" s="240"/>
      <c r="G82" s="241"/>
      <c r="H82" s="242"/>
      <c r="I82" s="243"/>
      <c r="J82" s="244"/>
      <c r="K82" s="245"/>
      <c r="L82" s="246"/>
      <c r="M82" s="247"/>
      <c r="N82" s="248"/>
      <c r="O82" s="249">
        <f>E82+F82+G82+H82+I82+J82+K82+L82+M82+N82</f>
        <v>0</v>
      </c>
      <c r="P82" s="250"/>
      <c r="Q82" s="251"/>
      <c r="R82" s="252"/>
      <c r="S82" s="253"/>
      <c r="T82" s="254"/>
      <c r="U82" s="255">
        <f>P82+Q82+R82+S82+T82</f>
        <v>0</v>
      </c>
      <c r="V82" s="328"/>
      <c r="W82" s="256">
        <f>C82*BJ82</f>
        <v>0</v>
      </c>
      <c r="X82" s="257">
        <f>D82*O82+D82*U82*1.04+V82*1.15*D82</f>
        <v>0</v>
      </c>
      <c r="Y82" s="128"/>
      <c r="Z82" s="129"/>
      <c r="AA82" s="129"/>
      <c r="AB82" s="129"/>
      <c r="AC82" s="129"/>
      <c r="AD82" s="129"/>
      <c r="AE82" s="129"/>
      <c r="AF82" s="129"/>
      <c r="AG82" s="129"/>
      <c r="AH82" s="129"/>
      <c r="AI82" s="130"/>
      <c r="AJ82" s="258"/>
      <c r="AK82" s="259"/>
      <c r="AL82" s="259"/>
      <c r="AM82" s="259"/>
      <c r="AN82" s="259"/>
      <c r="AO82" s="260">
        <f>1*BJ82</f>
        <v>0</v>
      </c>
      <c r="AP82" s="258">
        <f>2.3*BJ82</f>
        <v>0</v>
      </c>
      <c r="AQ82" s="266"/>
      <c r="AR82" s="329"/>
      <c r="AS82" s="329"/>
      <c r="AT82" s="329"/>
      <c r="AU82" s="329"/>
      <c r="AV82" s="329"/>
      <c r="AW82" s="329"/>
      <c r="AX82" s="329"/>
      <c r="AY82" s="330">
        <v>1</v>
      </c>
      <c r="AZ82" s="331"/>
      <c r="BA82" s="329"/>
      <c r="BB82" s="329">
        <v>4</v>
      </c>
      <c r="BC82" s="329"/>
      <c r="BD82" s="329"/>
      <c r="BE82" s="329"/>
      <c r="BF82" s="329"/>
      <c r="BG82" s="329"/>
      <c r="BH82" s="334"/>
      <c r="BI82" s="330">
        <v>4</v>
      </c>
      <c r="BJ82" s="270">
        <f>O82+U82+V82</f>
        <v>0</v>
      </c>
      <c r="BK82" s="270">
        <f>BJ82*(AY82*'HARDWARE'!K4+BB82*'HARDWARE'!E6)</f>
        <v>0</v>
      </c>
    </row>
    <row r="83" ht="17.5" customHeight="1">
      <c r="A83" t="s" s="346">
        <v>160</v>
      </c>
      <c r="B83" t="s" s="319">
        <v>68</v>
      </c>
      <c r="C83" s="255">
        <v>1</v>
      </c>
      <c r="D83" s="354">
        <v>47.17</v>
      </c>
      <c r="E83" s="239"/>
      <c r="F83" s="240"/>
      <c r="G83" s="241"/>
      <c r="H83" s="242"/>
      <c r="I83" s="243"/>
      <c r="J83" s="244"/>
      <c r="K83" s="245"/>
      <c r="L83" s="246"/>
      <c r="M83" s="247"/>
      <c r="N83" s="248"/>
      <c r="O83" s="249">
        <f>E83+F83+G83+H83+I83+J83+K83+L83+M83+N83</f>
        <v>0</v>
      </c>
      <c r="P83" s="250"/>
      <c r="Q83" s="251"/>
      <c r="R83" s="252"/>
      <c r="S83" s="253"/>
      <c r="T83" s="254"/>
      <c r="U83" s="255">
        <f>P83+Q83+R83+S83+T83</f>
        <v>0</v>
      </c>
      <c r="V83" s="328"/>
      <c r="W83" s="256">
        <f>C83*BJ83</f>
        <v>0</v>
      </c>
      <c r="X83" s="257">
        <f>D83*O83+D83*U83*1.04+V83*1.15*D83</f>
        <v>0</v>
      </c>
      <c r="Y83" s="128"/>
      <c r="Z83" s="129"/>
      <c r="AA83" s="129"/>
      <c r="AB83" s="129"/>
      <c r="AC83" s="129"/>
      <c r="AD83" s="129"/>
      <c r="AE83" s="129"/>
      <c r="AF83" s="129"/>
      <c r="AG83" s="129"/>
      <c r="AH83" s="129"/>
      <c r="AI83" s="130"/>
      <c r="AJ83" s="258"/>
      <c r="AK83" s="259"/>
      <c r="AL83" s="259"/>
      <c r="AM83" s="259"/>
      <c r="AN83" s="259"/>
      <c r="AO83" s="260">
        <f>1*BJ83</f>
        <v>0</v>
      </c>
      <c r="AP83" s="258">
        <f>1.1*BJ83</f>
        <v>0</v>
      </c>
      <c r="AQ83" s="266"/>
      <c r="AR83" s="329"/>
      <c r="AS83" s="329"/>
      <c r="AT83" s="329"/>
      <c r="AU83" s="329"/>
      <c r="AV83" s="329">
        <v>1</v>
      </c>
      <c r="AW83" s="329"/>
      <c r="AX83" s="329"/>
      <c r="AY83" s="330"/>
      <c r="AZ83" s="331"/>
      <c r="BA83" s="329"/>
      <c r="BB83" s="329">
        <v>1</v>
      </c>
      <c r="BC83" s="329"/>
      <c r="BD83" s="329"/>
      <c r="BE83" s="329"/>
      <c r="BF83" s="329"/>
      <c r="BG83" s="329"/>
      <c r="BH83" s="334"/>
      <c r="BI83" s="330">
        <v>4</v>
      </c>
      <c r="BJ83" s="264">
        <f>O83+U83+V83</f>
        <v>0</v>
      </c>
      <c r="BK83" s="270">
        <f>BJ83*(AV83*'HARDWARE'!H4+BB83*'HARDWARE'!E6)</f>
        <v>0</v>
      </c>
    </row>
    <row r="84" ht="17.5" customHeight="1">
      <c r="A84" t="s" s="346">
        <v>161</v>
      </c>
      <c r="B84" t="s" s="319">
        <v>68</v>
      </c>
      <c r="C84" s="255">
        <v>1</v>
      </c>
      <c r="D84" s="352">
        <v>95.33</v>
      </c>
      <c r="E84" s="239"/>
      <c r="F84" s="240"/>
      <c r="G84" s="241"/>
      <c r="H84" s="242"/>
      <c r="I84" s="243"/>
      <c r="J84" s="244"/>
      <c r="K84" s="245"/>
      <c r="L84" s="246"/>
      <c r="M84" s="247"/>
      <c r="N84" s="248"/>
      <c r="O84" s="249">
        <f>E84+F84+G84+H84+I84+J84+K84+L84+M84+N84</f>
        <v>0</v>
      </c>
      <c r="P84" s="250"/>
      <c r="Q84" s="251"/>
      <c r="R84" s="252"/>
      <c r="S84" s="253"/>
      <c r="T84" s="254"/>
      <c r="U84" s="255">
        <f>P84+Q84+R84+S84+T84</f>
        <v>0</v>
      </c>
      <c r="V84" s="328"/>
      <c r="W84" s="256">
        <f>C84*BJ84</f>
        <v>0</v>
      </c>
      <c r="X84" s="257">
        <f>D84*O84+D84*U84*1.04+V84*1.15*D84</f>
        <v>0</v>
      </c>
      <c r="Y84" s="128"/>
      <c r="Z84" s="129"/>
      <c r="AA84" s="129"/>
      <c r="AB84" s="129"/>
      <c r="AC84" s="129"/>
      <c r="AD84" s="129"/>
      <c r="AE84" s="129"/>
      <c r="AF84" s="129"/>
      <c r="AG84" s="129"/>
      <c r="AH84" s="129"/>
      <c r="AI84" s="130"/>
      <c r="AJ84" s="258"/>
      <c r="AK84" s="259"/>
      <c r="AL84" s="259"/>
      <c r="AM84" s="259"/>
      <c r="AN84" s="259"/>
      <c r="AO84" s="260">
        <f>1*BJ84</f>
        <v>0</v>
      </c>
      <c r="AP84" s="258">
        <f>3.3*BJ84</f>
        <v>0</v>
      </c>
      <c r="AQ84" s="266"/>
      <c r="AR84" s="329"/>
      <c r="AS84" s="329"/>
      <c r="AT84" s="329"/>
      <c r="AU84" s="329"/>
      <c r="AV84" s="329">
        <v>1</v>
      </c>
      <c r="AW84" s="329"/>
      <c r="AX84" s="329"/>
      <c r="AY84" s="330"/>
      <c r="AZ84" s="331"/>
      <c r="BA84" s="329"/>
      <c r="BB84" s="329"/>
      <c r="BC84" s="329">
        <v>2</v>
      </c>
      <c r="BD84" s="329"/>
      <c r="BE84" s="329"/>
      <c r="BF84" s="329"/>
      <c r="BG84" s="329"/>
      <c r="BH84" s="334"/>
      <c r="BI84" s="330">
        <v>4</v>
      </c>
      <c r="BJ84" s="270">
        <f>O84+U84+V84</f>
        <v>0</v>
      </c>
      <c r="BK84" s="270">
        <f>BJ84*(AV84*'HARDWARE'!H4+BC84*'HARDWARE'!F6)</f>
        <v>0</v>
      </c>
    </row>
    <row r="85" ht="17.5" customHeight="1">
      <c r="A85" t="s" s="204">
        <v>162</v>
      </c>
      <c r="B85" t="s" s="319">
        <v>68</v>
      </c>
      <c r="C85" s="255">
        <v>1</v>
      </c>
      <c r="D85" s="353">
        <v>49.5</v>
      </c>
      <c r="E85" s="239"/>
      <c r="F85" s="240"/>
      <c r="G85" s="241"/>
      <c r="H85" s="242"/>
      <c r="I85" s="243"/>
      <c r="J85" s="244"/>
      <c r="K85" s="245"/>
      <c r="L85" s="246"/>
      <c r="M85" s="247"/>
      <c r="N85" s="248"/>
      <c r="O85" s="249">
        <f>E85+F85+G85+H85+I85+J85+K85+L85+M85+N85</f>
        <v>0</v>
      </c>
      <c r="P85" s="250"/>
      <c r="Q85" s="251"/>
      <c r="R85" s="252"/>
      <c r="S85" s="253"/>
      <c r="T85" s="254"/>
      <c r="U85" s="255">
        <f>P85+Q85+R85+S85+T85</f>
        <v>0</v>
      </c>
      <c r="V85" s="328"/>
      <c r="W85" s="256">
        <f>C85*BJ85</f>
        <v>0</v>
      </c>
      <c r="X85" s="257">
        <f>D85*O85+D85*U85*1.04+V85*1.15*D85</f>
        <v>0</v>
      </c>
      <c r="Y85" s="128"/>
      <c r="Z85" s="129"/>
      <c r="AA85" s="129"/>
      <c r="AB85" s="129"/>
      <c r="AC85" s="129"/>
      <c r="AD85" s="129"/>
      <c r="AE85" s="129"/>
      <c r="AF85" s="129"/>
      <c r="AG85" s="129"/>
      <c r="AH85" s="129"/>
      <c r="AI85" s="130"/>
      <c r="AJ85" s="258"/>
      <c r="AK85" s="259"/>
      <c r="AL85" s="259"/>
      <c r="AM85" s="259"/>
      <c r="AN85" s="259"/>
      <c r="AO85" s="260">
        <f>1*BJ85</f>
        <v>0</v>
      </c>
      <c r="AP85" s="258">
        <f>1.7*BJ85</f>
        <v>0</v>
      </c>
      <c r="AQ85" s="266"/>
      <c r="AR85" s="329"/>
      <c r="AS85" s="329"/>
      <c r="AT85" s="329"/>
      <c r="AU85" s="329"/>
      <c r="AV85" s="329"/>
      <c r="AW85" s="329"/>
      <c r="AX85" s="329">
        <v>1</v>
      </c>
      <c r="AY85" s="330"/>
      <c r="AZ85" s="331"/>
      <c r="BA85" s="329"/>
      <c r="BB85" s="329"/>
      <c r="BC85" s="329">
        <v>2</v>
      </c>
      <c r="BD85" s="329"/>
      <c r="BE85" s="329"/>
      <c r="BF85" s="329"/>
      <c r="BG85" s="329"/>
      <c r="BH85" s="334"/>
      <c r="BI85" s="330">
        <v>4</v>
      </c>
      <c r="BJ85" s="264">
        <f>O85+U85+V85</f>
        <v>0</v>
      </c>
      <c r="BK85" s="270">
        <f>BJ85*(AX85*'HARDWARE'!J4+BC85*'HARDWARE'!F6)</f>
        <v>0</v>
      </c>
    </row>
    <row r="86" ht="17.5" customHeight="1">
      <c r="A86" t="s" s="346">
        <v>163</v>
      </c>
      <c r="B86" t="s" s="319">
        <v>68</v>
      </c>
      <c r="C86" s="255">
        <v>1</v>
      </c>
      <c r="D86" s="354">
        <v>86.33</v>
      </c>
      <c r="E86" s="239"/>
      <c r="F86" s="240"/>
      <c r="G86" s="241"/>
      <c r="H86" s="242"/>
      <c r="I86" s="243"/>
      <c r="J86" s="244"/>
      <c r="K86" s="245"/>
      <c r="L86" s="246"/>
      <c r="M86" s="247"/>
      <c r="N86" s="248"/>
      <c r="O86" s="249">
        <f>E86+F86+G86+H86+I86+J86+K86+L86+M86+N86</f>
        <v>0</v>
      </c>
      <c r="P86" s="250"/>
      <c r="Q86" s="251"/>
      <c r="R86" s="252"/>
      <c r="S86" s="253"/>
      <c r="T86" s="254"/>
      <c r="U86" s="255">
        <f>P86+Q86+R86+S86+T86</f>
        <v>0</v>
      </c>
      <c r="V86" s="328"/>
      <c r="W86" s="256">
        <f>C86*BJ86</f>
        <v>0</v>
      </c>
      <c r="X86" s="257">
        <f>D86*O86+D86*U86*1.04+V86*1.15*D86</f>
        <v>0</v>
      </c>
      <c r="Y86" s="128"/>
      <c r="Z86" s="129"/>
      <c r="AA86" s="129"/>
      <c r="AB86" s="129"/>
      <c r="AC86" s="129"/>
      <c r="AD86" s="129"/>
      <c r="AE86" s="129"/>
      <c r="AF86" s="129"/>
      <c r="AG86" s="129"/>
      <c r="AH86" s="129"/>
      <c r="AI86" s="130"/>
      <c r="AJ86" s="258"/>
      <c r="AK86" s="259"/>
      <c r="AL86" s="259"/>
      <c r="AM86" s="259"/>
      <c r="AN86" s="259"/>
      <c r="AO86" s="260">
        <f>1*BJ86</f>
        <v>0</v>
      </c>
      <c r="AP86" s="258">
        <f>2.3*BJ86</f>
        <v>0</v>
      </c>
      <c r="AQ86" s="266"/>
      <c r="AR86" s="329"/>
      <c r="AS86" s="329"/>
      <c r="AT86" s="329"/>
      <c r="AU86" s="329"/>
      <c r="AV86" s="329"/>
      <c r="AW86" s="329"/>
      <c r="AX86" s="329"/>
      <c r="AY86" s="330">
        <v>1</v>
      </c>
      <c r="AZ86" s="331"/>
      <c r="BA86" s="329"/>
      <c r="BB86" s="329"/>
      <c r="BC86" s="329">
        <v>5</v>
      </c>
      <c r="BD86" s="329">
        <v>2</v>
      </c>
      <c r="BE86" s="329"/>
      <c r="BF86" s="329"/>
      <c r="BG86" s="329"/>
      <c r="BH86" s="334"/>
      <c r="BI86" s="330">
        <v>4</v>
      </c>
      <c r="BJ86" s="270">
        <f>O86+U86+V86</f>
        <v>0</v>
      </c>
      <c r="BK86" s="270">
        <f>BJ86*(AY86*'HARDWARE'!K4+BC86*'HARDWARE'!F6+BD86*'HARDWARE'!G6)</f>
        <v>0</v>
      </c>
    </row>
    <row r="87" ht="17.5" customHeight="1">
      <c r="A87" t="s" s="346">
        <v>164</v>
      </c>
      <c r="B87" t="s" s="319">
        <v>119</v>
      </c>
      <c r="C87" s="255">
        <v>2</v>
      </c>
      <c r="D87" s="353">
        <v>138.33</v>
      </c>
      <c r="E87" s="239"/>
      <c r="F87" s="240"/>
      <c r="G87" s="241"/>
      <c r="H87" s="242"/>
      <c r="I87" s="243"/>
      <c r="J87" s="244"/>
      <c r="K87" s="245"/>
      <c r="L87" s="246"/>
      <c r="M87" s="247"/>
      <c r="N87" s="248"/>
      <c r="O87" s="249">
        <f>E87+F87+G87+H87+I87+J87+K87+L87+M87+N87</f>
        <v>0</v>
      </c>
      <c r="P87" s="250"/>
      <c r="Q87" s="251"/>
      <c r="R87" s="252"/>
      <c r="S87" s="253"/>
      <c r="T87" s="254"/>
      <c r="U87" s="255">
        <f>P87+Q87+R87+S87+T87</f>
        <v>0</v>
      </c>
      <c r="V87" s="328"/>
      <c r="W87" s="256">
        <f>C87*BJ87</f>
        <v>0</v>
      </c>
      <c r="X87" s="257">
        <f>D87*O87+D87*U87*1.04+V87*1.15*D87</f>
        <v>0</v>
      </c>
      <c r="Y87" s="128"/>
      <c r="Z87" s="129"/>
      <c r="AA87" s="129"/>
      <c r="AB87" s="129"/>
      <c r="AC87" s="129"/>
      <c r="AD87" s="129"/>
      <c r="AE87" s="129"/>
      <c r="AF87" s="129"/>
      <c r="AG87" s="129"/>
      <c r="AH87" s="129"/>
      <c r="AI87" s="130"/>
      <c r="AJ87" s="258"/>
      <c r="AK87" s="259"/>
      <c r="AL87" s="259"/>
      <c r="AM87" s="259"/>
      <c r="AN87" s="259"/>
      <c r="AO87" s="260">
        <f>2*BJ87</f>
        <v>0</v>
      </c>
      <c r="AP87" s="258">
        <f>3.5*BJ87</f>
        <v>0</v>
      </c>
      <c r="AQ87" s="266"/>
      <c r="AR87" s="329"/>
      <c r="AS87" s="329"/>
      <c r="AT87" s="329"/>
      <c r="AU87" s="329"/>
      <c r="AV87" s="329">
        <v>1</v>
      </c>
      <c r="AW87" s="329"/>
      <c r="AX87" s="329">
        <v>1</v>
      </c>
      <c r="AY87" s="330"/>
      <c r="AZ87" s="331"/>
      <c r="BA87" s="329">
        <v>1</v>
      </c>
      <c r="BB87" s="329"/>
      <c r="BC87" s="329">
        <v>10</v>
      </c>
      <c r="BD87" s="329">
        <v>3</v>
      </c>
      <c r="BE87" s="329"/>
      <c r="BF87" s="329"/>
      <c r="BG87" s="329"/>
      <c r="BH87" s="334"/>
      <c r="BI87" s="330">
        <v>4</v>
      </c>
      <c r="BJ87" s="264">
        <f>O87+U87+V87</f>
        <v>0</v>
      </c>
      <c r="BK87" s="270">
        <f>BJ87*(AV87*'HARDWARE'!H4+AX87*'HARDWARE'!J4+BA87*'HARDWARE'!D6+BC87*'HARDWARE'!F6+BD87*'HARDWARE'!G6)</f>
        <v>0</v>
      </c>
    </row>
    <row r="88" ht="17.5" customHeight="1">
      <c r="A88" t="s" s="204">
        <v>165</v>
      </c>
      <c r="B88" t="s" s="319">
        <v>111</v>
      </c>
      <c r="C88" s="255">
        <v>1</v>
      </c>
      <c r="D88" s="353">
        <v>61.67</v>
      </c>
      <c r="E88" s="239"/>
      <c r="F88" s="240"/>
      <c r="G88" s="241"/>
      <c r="H88" s="242"/>
      <c r="I88" s="243"/>
      <c r="J88" s="244"/>
      <c r="K88" s="245"/>
      <c r="L88" s="246"/>
      <c r="M88" s="247"/>
      <c r="N88" s="248"/>
      <c r="O88" s="249">
        <f>E88+F88+G88+H88+I88+J88+K88+L88+M88+N88</f>
        <v>0</v>
      </c>
      <c r="P88" s="250"/>
      <c r="Q88" s="251"/>
      <c r="R88" s="252"/>
      <c r="S88" s="253"/>
      <c r="T88" s="254"/>
      <c r="U88" s="255">
        <f>P88+Q88+R88+S88+T88</f>
        <v>0</v>
      </c>
      <c r="V88" s="328"/>
      <c r="W88" s="256">
        <f>C88*BJ88</f>
        <v>0</v>
      </c>
      <c r="X88" s="257">
        <f>D88*O88+D88*U88*1.04+V88*1.15*D88</f>
        <v>0</v>
      </c>
      <c r="Y88" s="128"/>
      <c r="Z88" s="129"/>
      <c r="AA88" s="129"/>
      <c r="AB88" s="129"/>
      <c r="AC88" s="129"/>
      <c r="AD88" s="129"/>
      <c r="AE88" s="129"/>
      <c r="AF88" s="129"/>
      <c r="AG88" s="129"/>
      <c r="AH88" s="129"/>
      <c r="AI88" s="130"/>
      <c r="AJ88" s="258"/>
      <c r="AK88" s="259"/>
      <c r="AL88" s="259"/>
      <c r="AM88" s="259"/>
      <c r="AN88" s="259"/>
      <c r="AO88" s="260">
        <f>1*BJ88</f>
        <v>0</v>
      </c>
      <c r="AP88" s="258">
        <f>1.9*BJ88</f>
        <v>0</v>
      </c>
      <c r="AQ88" s="266"/>
      <c r="AR88" s="329"/>
      <c r="AS88" s="329"/>
      <c r="AT88" s="329"/>
      <c r="AU88" s="329">
        <v>1</v>
      </c>
      <c r="AV88" s="329"/>
      <c r="AW88" s="329"/>
      <c r="AX88" s="329"/>
      <c r="AY88" s="330"/>
      <c r="AZ88" s="331"/>
      <c r="BA88" s="329"/>
      <c r="BB88" s="329"/>
      <c r="BC88" s="329">
        <v>1</v>
      </c>
      <c r="BD88" s="329"/>
      <c r="BE88" s="329"/>
      <c r="BF88" s="329"/>
      <c r="BG88" s="329"/>
      <c r="BH88" s="334"/>
      <c r="BI88" s="330">
        <v>4</v>
      </c>
      <c r="BJ88" s="270">
        <f>O88+U88+V88</f>
        <v>0</v>
      </c>
      <c r="BK88" s="270">
        <f>BJ88*(AU88*'HARDWARE'!G5+BC88*'HARDWARE'!F6)</f>
        <v>0</v>
      </c>
    </row>
    <row r="89" ht="17.5" customHeight="1">
      <c r="A89" t="s" s="355">
        <v>166</v>
      </c>
      <c r="B89" t="s" s="319">
        <v>119</v>
      </c>
      <c r="C89" s="356">
        <v>5</v>
      </c>
      <c r="D89" s="357">
        <v>174.5</v>
      </c>
      <c r="E89" s="239"/>
      <c r="F89" s="240"/>
      <c r="G89" s="241"/>
      <c r="H89" s="242"/>
      <c r="I89" s="243"/>
      <c r="J89" s="244"/>
      <c r="K89" s="245"/>
      <c r="L89" s="246"/>
      <c r="M89" s="247"/>
      <c r="N89" s="248"/>
      <c r="O89" s="249">
        <f>E89+F89+G89+H89+I89+J89+K89+L89+M89+N89</f>
        <v>0</v>
      </c>
      <c r="P89" s="250"/>
      <c r="Q89" s="251"/>
      <c r="R89" s="252"/>
      <c r="S89" s="253"/>
      <c r="T89" s="254"/>
      <c r="U89" s="255">
        <f>P89+Q89+R89+S89+T89</f>
        <v>0</v>
      </c>
      <c r="V89" s="349"/>
      <c r="W89" s="256">
        <f>C89*BJ89</f>
        <v>0</v>
      </c>
      <c r="X89" s="257">
        <f>D89*O89+D89*U89*1.04+V89*1.15*D89</f>
        <v>0</v>
      </c>
      <c r="Y89" s="128"/>
      <c r="Z89" s="129"/>
      <c r="AA89" s="129"/>
      <c r="AB89" s="129"/>
      <c r="AC89" s="129"/>
      <c r="AD89" s="129"/>
      <c r="AE89" s="129"/>
      <c r="AF89" s="129"/>
      <c r="AG89" s="129"/>
      <c r="AH89" s="129"/>
      <c r="AI89" s="130"/>
      <c r="AJ89" s="258"/>
      <c r="AK89" s="259"/>
      <c r="AL89" s="259"/>
      <c r="AM89" s="259"/>
      <c r="AN89" s="259"/>
      <c r="AO89" s="260">
        <f>5*BJ89</f>
        <v>0</v>
      </c>
      <c r="AP89" s="258">
        <f>5.4*BJ89</f>
        <v>0</v>
      </c>
      <c r="AQ89" s="266"/>
      <c r="AR89" s="329"/>
      <c r="AS89" s="329">
        <v>1</v>
      </c>
      <c r="AT89" s="329">
        <v>2</v>
      </c>
      <c r="AU89" s="329"/>
      <c r="AV89" s="329">
        <v>2</v>
      </c>
      <c r="AW89" s="329"/>
      <c r="AX89" s="329"/>
      <c r="AY89" s="330"/>
      <c r="AZ89" s="331"/>
      <c r="BA89" s="329">
        <v>8</v>
      </c>
      <c r="BB89" s="329"/>
      <c r="BC89" s="329">
        <v>10</v>
      </c>
      <c r="BD89" s="329">
        <v>3</v>
      </c>
      <c r="BE89" s="329"/>
      <c r="BF89" s="329"/>
      <c r="BG89" s="329"/>
      <c r="BH89" s="334"/>
      <c r="BI89" s="330">
        <v>4</v>
      </c>
      <c r="BJ89" s="264">
        <f>O89+U89+V89</f>
        <v>0</v>
      </c>
      <c r="BK89" s="270">
        <f>BJ89*(AS89*'HARDWARE'!E4+AT89*'HARDWARE'!F4+AV89*'HARDWARE'!H4+BA89*'HARDWARE'!D6+BC89*'HARDWARE'!F6+BD89*'HARDWARE'!G6)</f>
        <v>0</v>
      </c>
    </row>
    <row r="90" ht="17.5" customHeight="1">
      <c r="A90" t="s" s="358">
        <v>167</v>
      </c>
      <c r="B90" t="s" s="359">
        <v>168</v>
      </c>
      <c r="C90" s="356">
        <v>20</v>
      </c>
      <c r="D90" s="360">
        <v>575</v>
      </c>
      <c r="E90" s="239"/>
      <c r="F90" s="240"/>
      <c r="G90" s="241"/>
      <c r="H90" s="242"/>
      <c r="I90" s="243"/>
      <c r="J90" s="244"/>
      <c r="K90" s="245"/>
      <c r="L90" s="246"/>
      <c r="M90" s="247"/>
      <c r="N90" s="248"/>
      <c r="O90" s="249">
        <f>E90+F90+G90+H90+I90+J90+K90+L90+M90+N90</f>
        <v>0</v>
      </c>
      <c r="P90" s="250"/>
      <c r="Q90" s="251"/>
      <c r="R90" s="252"/>
      <c r="S90" s="253"/>
      <c r="T90" s="254"/>
      <c r="U90" s="255">
        <f>P90+Q90+R90+S90+T90</f>
        <v>0</v>
      </c>
      <c r="V90" t="s" s="225">
        <v>66</v>
      </c>
      <c r="W90" s="256">
        <f>C90*BJ90</f>
        <v>0</v>
      </c>
      <c r="X90" s="257">
        <f>D90*O90+D90*U90*1.04</f>
        <v>0</v>
      </c>
      <c r="Y90" s="128"/>
      <c r="Z90" s="129"/>
      <c r="AA90" s="129"/>
      <c r="AB90" s="129"/>
      <c r="AC90" s="129"/>
      <c r="AD90" s="129"/>
      <c r="AE90" s="129"/>
      <c r="AF90" s="129"/>
      <c r="AG90" s="129"/>
      <c r="AH90" s="129"/>
      <c r="AI90" s="130"/>
      <c r="AJ90" s="258"/>
      <c r="AK90" s="259">
        <f>8*BJ90</f>
        <v>0</v>
      </c>
      <c r="AL90" s="259"/>
      <c r="AM90" s="259"/>
      <c r="AN90" s="259"/>
      <c r="AO90" s="265">
        <f>12*BJ90</f>
        <v>0</v>
      </c>
      <c r="AP90" s="258">
        <f>28*BJ90</f>
        <v>0</v>
      </c>
      <c r="AQ90" s="266"/>
      <c r="AR90" s="329"/>
      <c r="AS90" s="329">
        <v>8</v>
      </c>
      <c r="AT90" s="329"/>
      <c r="AU90" s="329"/>
      <c r="AV90" s="329"/>
      <c r="AW90" s="329"/>
      <c r="AX90" s="329"/>
      <c r="AY90" s="329">
        <v>12</v>
      </c>
      <c r="AZ90" s="329"/>
      <c r="BA90" s="329"/>
      <c r="BB90" s="329"/>
      <c r="BC90" s="329">
        <v>24</v>
      </c>
      <c r="BD90" s="329"/>
      <c r="BE90" s="329"/>
      <c r="BF90" s="329">
        <v>12</v>
      </c>
      <c r="BG90" s="329"/>
      <c r="BH90" s="334"/>
      <c r="BI90" s="330">
        <v>5</v>
      </c>
      <c r="BJ90" s="270">
        <f>O90+U90</f>
        <v>0</v>
      </c>
      <c r="BK90" s="270">
        <f>BJ90*(AS90*'HARDWARE'!E4+AY90*'HARDWARE'!K4+BC90*'HARDWARE'!F7+BF90*'HARDWARE'!I7)</f>
        <v>0</v>
      </c>
    </row>
    <row r="91" ht="17.5" customHeight="1">
      <c r="A91" t="s" s="358">
        <v>169</v>
      </c>
      <c r="B91" t="s" s="359">
        <v>168</v>
      </c>
      <c r="C91" s="356">
        <v>31</v>
      </c>
      <c r="D91" s="361">
        <v>975</v>
      </c>
      <c r="E91" s="239"/>
      <c r="F91" s="240"/>
      <c r="G91" s="241"/>
      <c r="H91" s="242"/>
      <c r="I91" s="243"/>
      <c r="J91" s="244"/>
      <c r="K91" s="245"/>
      <c r="L91" s="246"/>
      <c r="M91" s="247"/>
      <c r="N91" s="248"/>
      <c r="O91" s="249">
        <f>E91+F91+G91+H91+I91+J91+K91+L91+M91+N91</f>
        <v>0</v>
      </c>
      <c r="P91" s="250"/>
      <c r="Q91" s="251"/>
      <c r="R91" s="252"/>
      <c r="S91" s="253"/>
      <c r="T91" s="254"/>
      <c r="U91" s="255">
        <f>P91+Q91+R91+S91+T91</f>
        <v>0</v>
      </c>
      <c r="V91" t="s" s="225">
        <v>66</v>
      </c>
      <c r="W91" s="256">
        <f>C91*BJ91</f>
        <v>0</v>
      </c>
      <c r="X91" s="257">
        <f>D91*O91+D91*U91*1.04</f>
        <v>0</v>
      </c>
      <c r="Y91" s="128"/>
      <c r="Z91" s="129"/>
      <c r="AA91" s="129"/>
      <c r="AB91" s="129"/>
      <c r="AC91" s="129"/>
      <c r="AD91" s="129"/>
      <c r="AE91" s="129"/>
      <c r="AF91" s="129"/>
      <c r="AG91" s="129"/>
      <c r="AH91" s="129"/>
      <c r="AI91" s="130"/>
      <c r="AJ91" s="258"/>
      <c r="AK91" s="259">
        <f>11*BJ91</f>
        <v>0</v>
      </c>
      <c r="AL91" s="259"/>
      <c r="AM91" s="259"/>
      <c r="AN91" s="259"/>
      <c r="AO91" s="260">
        <f>20*BJ91</f>
        <v>0</v>
      </c>
      <c r="AP91" s="258">
        <f>44*BJ91</f>
        <v>0</v>
      </c>
      <c r="AQ91" s="266"/>
      <c r="AR91" s="329"/>
      <c r="AS91" s="329">
        <v>11</v>
      </c>
      <c r="AT91" s="329"/>
      <c r="AU91" s="329"/>
      <c r="AV91" s="329"/>
      <c r="AW91" s="329"/>
      <c r="AX91" s="329"/>
      <c r="AY91" s="329">
        <v>20</v>
      </c>
      <c r="AZ91" s="329"/>
      <c r="BA91" s="329"/>
      <c r="BB91" s="329"/>
      <c r="BC91" s="329">
        <v>40</v>
      </c>
      <c r="BD91" s="329"/>
      <c r="BE91" s="329"/>
      <c r="BF91" s="329">
        <v>20</v>
      </c>
      <c r="BG91" s="329"/>
      <c r="BH91" s="334"/>
      <c r="BI91" s="330">
        <v>5</v>
      </c>
      <c r="BJ91" s="270">
        <f>O91+U91</f>
        <v>0</v>
      </c>
      <c r="BK91" s="270">
        <f>BJ91*(AS91*'HARDWARE'!E4+AY91*'HARDWARE'!K4+BC91*'HARDWARE'!F7+BF91*'HARDWARE'!I7)</f>
        <v>0</v>
      </c>
    </row>
    <row r="92" ht="17.5" customHeight="1">
      <c r="A92" t="s" s="358">
        <v>170</v>
      </c>
      <c r="B92" t="s" s="359">
        <v>168</v>
      </c>
      <c r="C92" s="356">
        <v>20</v>
      </c>
      <c r="D92" s="361">
        <v>747.67</v>
      </c>
      <c r="E92" s="239"/>
      <c r="F92" s="240"/>
      <c r="G92" s="241"/>
      <c r="H92" s="242"/>
      <c r="I92" s="243"/>
      <c r="J92" s="244"/>
      <c r="K92" s="245"/>
      <c r="L92" s="246"/>
      <c r="M92" s="247"/>
      <c r="N92" s="248"/>
      <c r="O92" s="249">
        <f>E92+F92+G92+H92+I92+J92+K92+L92+M92+N92</f>
        <v>0</v>
      </c>
      <c r="P92" s="250"/>
      <c r="Q92" s="251"/>
      <c r="R92" s="252"/>
      <c r="S92" s="253"/>
      <c r="T92" s="254"/>
      <c r="U92" s="255">
        <f>P92+Q92+R92+S92+T92</f>
        <v>0</v>
      </c>
      <c r="V92" t="s" s="225">
        <v>66</v>
      </c>
      <c r="W92" s="256">
        <f>C92*BJ92</f>
        <v>0</v>
      </c>
      <c r="X92" s="257">
        <f>D92*O92+D92*U92*1.04</f>
        <v>0</v>
      </c>
      <c r="Y92" s="128"/>
      <c r="Z92" s="129"/>
      <c r="AA92" s="129"/>
      <c r="AB92" s="129"/>
      <c r="AC92" s="129"/>
      <c r="AD92" s="129"/>
      <c r="AE92" s="129"/>
      <c r="AF92" s="129"/>
      <c r="AG92" s="129"/>
      <c r="AH92" s="129"/>
      <c r="AI92" s="130"/>
      <c r="AJ92" s="258"/>
      <c r="AK92" s="259">
        <f>8*BJ92</f>
        <v>0</v>
      </c>
      <c r="AL92" s="259"/>
      <c r="AM92" s="259"/>
      <c r="AN92" s="259"/>
      <c r="AO92" s="265">
        <f>12*BJ92</f>
        <v>0</v>
      </c>
      <c r="AP92" s="258">
        <f>28*BJ92</f>
        <v>0</v>
      </c>
      <c r="AQ92" s="266"/>
      <c r="AR92" s="329"/>
      <c r="AS92" s="329">
        <v>8</v>
      </c>
      <c r="AT92" s="329"/>
      <c r="AU92" s="329"/>
      <c r="AV92" s="329"/>
      <c r="AW92" s="329"/>
      <c r="AX92" s="329"/>
      <c r="AY92" s="329">
        <v>12</v>
      </c>
      <c r="AZ92" s="329"/>
      <c r="BA92" s="329"/>
      <c r="BB92" s="329"/>
      <c r="BC92" s="329">
        <v>24</v>
      </c>
      <c r="BD92" s="329"/>
      <c r="BE92" s="329"/>
      <c r="BF92" s="329">
        <v>12</v>
      </c>
      <c r="BG92" s="329"/>
      <c r="BH92" s="334"/>
      <c r="BI92" s="330">
        <v>5</v>
      </c>
      <c r="BJ92" s="270">
        <f>O92+U92</f>
        <v>0</v>
      </c>
      <c r="BK92" s="270">
        <f>BJ92*(AS92*'HARDWARE'!E6+AY92*'HARDWARE'!K4+BC92*'HARDWARE'!F7+BF92*'HARDWARE'!I7)</f>
        <v>0</v>
      </c>
    </row>
    <row r="93" ht="17.5" customHeight="1">
      <c r="A93" t="s" s="362">
        <v>171</v>
      </c>
      <c r="B93" t="s" s="359">
        <v>168</v>
      </c>
      <c r="C93" s="363">
        <v>31</v>
      </c>
      <c r="D93" s="364">
        <v>1234.33</v>
      </c>
      <c r="E93" s="289"/>
      <c r="F93" s="290"/>
      <c r="G93" s="291"/>
      <c r="H93" s="292"/>
      <c r="I93" s="293"/>
      <c r="J93" s="294"/>
      <c r="K93" s="295"/>
      <c r="L93" s="365"/>
      <c r="M93" s="296"/>
      <c r="N93" s="185"/>
      <c r="O93" s="297">
        <f>E93+F93+G93+H93+I93+J93+K93+L93+M93+N93</f>
        <v>0</v>
      </c>
      <c r="P93" s="298"/>
      <c r="Q93" s="299"/>
      <c r="R93" s="366"/>
      <c r="S93" s="301"/>
      <c r="T93" s="302"/>
      <c r="U93" s="303">
        <f>P93+Q93+R93+S93+T93</f>
        <v>0</v>
      </c>
      <c r="V93" t="s" s="225">
        <v>66</v>
      </c>
      <c r="W93" s="305">
        <f>C93*BJ93</f>
        <v>0</v>
      </c>
      <c r="X93" s="306">
        <f>D93*O93+D93*U93*1.04</f>
        <v>0</v>
      </c>
      <c r="Y93" s="128"/>
      <c r="Z93" s="129"/>
      <c r="AA93" s="129"/>
      <c r="AB93" s="129"/>
      <c r="AC93" s="129"/>
      <c r="AD93" s="129"/>
      <c r="AE93" s="129"/>
      <c r="AF93" s="129"/>
      <c r="AG93" s="129"/>
      <c r="AH93" s="129"/>
      <c r="AI93" s="130"/>
      <c r="AJ93" s="307"/>
      <c r="AK93" s="308">
        <f>11*BJ93</f>
        <v>0</v>
      </c>
      <c r="AL93" s="308"/>
      <c r="AM93" s="308"/>
      <c r="AN93" s="308"/>
      <c r="AO93" s="309">
        <f>20*BJ93</f>
        <v>0</v>
      </c>
      <c r="AP93" s="307">
        <f>44*BJ93</f>
        <v>0</v>
      </c>
      <c r="AQ93" s="367"/>
      <c r="AR93" s="368"/>
      <c r="AS93" s="368">
        <v>11</v>
      </c>
      <c r="AT93" s="368"/>
      <c r="AU93" s="368"/>
      <c r="AV93" s="368"/>
      <c r="AW93" s="368"/>
      <c r="AX93" s="368"/>
      <c r="AY93" s="368">
        <v>20</v>
      </c>
      <c r="AZ93" s="368"/>
      <c r="BA93" s="368"/>
      <c r="BB93" s="368"/>
      <c r="BC93" s="368">
        <v>40</v>
      </c>
      <c r="BD93" s="368"/>
      <c r="BE93" s="368"/>
      <c r="BF93" s="368">
        <v>20</v>
      </c>
      <c r="BG93" s="368"/>
      <c r="BH93" s="369"/>
      <c r="BI93" s="370">
        <v>5</v>
      </c>
      <c r="BJ93" s="315">
        <f>O93+U93</f>
        <v>0</v>
      </c>
      <c r="BK93" s="315">
        <f>BJ93*(AS93*'HARDWARE'!E7+AY93*'HARDWARE'!K5+BC93*'HARDWARE'!F8+BF93*'HARDWARE'!I8)</f>
        <v>0</v>
      </c>
    </row>
    <row r="94" ht="88.5" customHeight="1">
      <c r="A94" t="s" s="371">
        <v>172</v>
      </c>
      <c r="B94" s="372"/>
      <c r="C94" s="107"/>
      <c r="D94" s="12"/>
      <c r="E94" s="107"/>
      <c r="F94" s="12"/>
      <c r="G94" s="12"/>
      <c r="H94" s="12"/>
      <c r="I94" s="12"/>
      <c r="J94" s="12"/>
      <c r="K94" s="12"/>
      <c r="L94" s="14"/>
      <c r="M94" t="s" s="373">
        <v>173</v>
      </c>
      <c r="N94" s="14"/>
      <c r="O94" s="374">
        <f>O6+O7+O8+O9+O10+O11+O12+O13+O14+O15+O16+O17+O18+O19+O20+O21+O22+O23+O24+O25+O26+O27+O28+O29+O30+O31+O32+O33+O34+O35+O36+O37+O38+O39+O40+O42+O43+O44+O45+O46+O47+O48+O49+O50+O51+O52+O53+O54+O55+O56+O57+O58+O59+O60+O61+O62+O63+O64+O65+O66+O67+O68+O69+O70+O71+O72+O73+O74+O75+O76+O77+O78+O79+O80+O81+O82+O83+O84+O85+O86+O87+O88+O89+O90+O91+O92+O93</f>
        <v>0</v>
      </c>
      <c r="P94" s="375"/>
      <c r="Q94" s="12"/>
      <c r="R94" s="12"/>
      <c r="S94" s="12"/>
      <c r="T94" s="14"/>
      <c r="U94" s="374">
        <f>U6+U7+U8+U9+U10+U11+U12+U13+U14+U15+U16+U17+U18+U19+U20+U21+U22+U23+U24+U25+U26+U27+U28+U29+U30+U31+U32+U33+U34+U35+U36+U37+U38+U39+U40+U42+U43+U44+U45+U46+U47+U48+U49+U50+U51+U52+U53+U54+U55+U56+U57+U58+U59+U60+U61+U62+U63+U64+U65+U66+U67+U68+U69+U70+U71+U72+U73+U74+U75+U76+U77+U78+U79+U80+U81+U82+U83+U84+U85+U86+U87+U88+U89+U90+U91+U92+U93</f>
        <v>0</v>
      </c>
      <c r="V94" s="374">
        <f>V42+V43+V44+V45+V46+V47+V48+V49+V50+V51+V52+V53+V54+V55+V56+V57+V58+V59+V60+V61+V62+V63+V64+V65+V66+V67+V68+V69+V70+V71+V72+V79+V80+V81+V82+V83+V84+V85+V86+V87+V88+V89</f>
        <v>0</v>
      </c>
      <c r="W94" s="374">
        <f>W6+W7+W8+W9+W10+W11+W12+W13+W14+W15+W16+W17+W18+W19+W20+W21+W22+W23+W24+W25+W26+W27+W28+W29+W30+W31+W32+W33+W34+W35+W36+W37+W38+W39+W40+W42+W43+W44+W45+W46+W47+W48+W49+W50+W51+W52+W53+W54+W55+W56+W57+W58+W59+W60+W61+W62+W63+W64+W65+W66+W67+W68+W69+W70+W71+W72+W73+W74+W75+W76+W77+W78+W79+W80+W81+W82+W83+W84+W85+W86+W87+W88+W89+W90+W91+W92+W93</f>
        <v>0</v>
      </c>
      <c r="X94" s="376">
        <f>X92+X93+X47+X51+X45+X6+X7+X8+X9+X10+X13+X14+X39+X15+X16+X17+X18+X19+X20+X21+X22+X23+X24+X25+X26+X27+X28+X29+X30+X31+X32+X33+X34+X35+X36+X37+X38+X40+X42+X43+X44+X48+X50+X52+X53+X54+X55+X56+X57+X58+X59+X60+X61+X49+X62+X63+X65+X64+X66+X67+X68+X70+X69+X71+X81+X79+X80+X72+X82+X83+X84+X85+X86+X87+X88+X89+X90+X91</f>
        <v>0</v>
      </c>
      <c r="Y94" s="377"/>
      <c r="Z94" s="378">
        <f>SUM(Z6:Z81)</f>
        <v>0</v>
      </c>
      <c r="AA94" s="378">
        <f>SUM(AA6:AA81)</f>
        <v>0</v>
      </c>
      <c r="AB94" s="378">
        <f>SUM(AB6:AB81)</f>
        <v>0</v>
      </c>
      <c r="AC94" s="378">
        <f>SUM(AC6:AC81)</f>
        <v>0</v>
      </c>
      <c r="AD94" s="378">
        <f>SUM(AD6:AD81)</f>
        <v>0</v>
      </c>
      <c r="AE94" s="378">
        <f>SUM(AE6:AE81)</f>
        <v>0</v>
      </c>
      <c r="AF94" s="378">
        <f>SUM(AF6:AF81)</f>
        <v>0</v>
      </c>
      <c r="AG94" s="378">
        <f>SUM(AG6:AG81)</f>
        <v>0</v>
      </c>
      <c r="AH94" s="378">
        <f>SUM(AH6:AH81)</f>
        <v>0</v>
      </c>
      <c r="AI94" s="379">
        <f>SUM(AI6:AI81)</f>
        <v>0</v>
      </c>
      <c r="AJ94" s="374">
        <f>AJ6+AJ7+AJ8+AJ9+AJ10+AJ11+AJ12+AJ13+AJ14+AJ15+AJ16+AJ17+AJ18+AJ19+AJ20+AJ21+AJ22+AJ23+AJ24+AJ25+AJ26+AJ27+AJ28+AJ29+AJ30+AJ31+AJ32+AJ33+AJ34+AJ35+AJ36+AJ37+AJ38+AJ39+AJ40+AJ42+AJ43+AJ44+AJ45+AJ46+AJ47+AJ48+AJ49+AJ50+AJ51+AJ52+AJ53+AJ54+AJ55+AJ56+AJ57+AJ58+AJ59+AJ60+AJ61+AJ62+AJ63+AJ64+AJ65+AJ66+AJ67+AJ68+AJ69+AJ70+AJ71+AJ72+AJ73+AJ74+AJ75+AJ76+AJ77+AJ78+AJ79+AJ80+AJ81+AJ82+AJ83+AJ84+AJ85+AJ86+AJ87+AJ88+AJ89+AJ90+AJ91+AJ92+AJ93</f>
        <v>0</v>
      </c>
      <c r="AK94" s="374">
        <f>AK6+AK7+AK8+AK9+AK10+AK11+AK12+AK13+AK14+AK15+AK16+AK17+AK18+AK19+AK20+AK21+AK22+AK23+AK24+AK25+AK26+AK27+AK28+AK29+AK30+AK31+AK32+AK33+AK34+AK35+AK36+AK37+AK38+AK39+AK40+AK42+AK43+AK44+AK45+AK46+AK47+AK48+AK49+AK50+AK51+AK52+AK53+AK54+AK55+AK56+AK57+AK58+AK59+AK60+AK61+AK62+AK63+AK64+AK65+AK66+AK67+AK68+AK69+AK70+AK71+AK72+AK73+AK74+AK75+AK76+AK77+AK78+AK79+AK80+AK81+AK82+AK83+AK84+AK85+AK86+AK87+AK88+AK89+AK90+AK91+AK92+AK93</f>
        <v>0</v>
      </c>
      <c r="AL94" s="374">
        <f>AL6+AL7+AL8+AL9+AL10+AL11+AL12+AL13+AL14+AL15+AL16+AL17+AL18+AL19+AL20+AL21+AL22+AL23+AL24+AL25+AL26+AL27+AL28+AL29+AL30+AL31+AL32+AL33+AL34+AL35+AL36+AL37+AL38+AL39+AL40+AL42+AL43+AL44+AL45+AL46+AL47+AL48+AL49+AL50+AL51+AL52+AL53+AL54+AL55+AL56+AL57+AL58+AL59+AL60+AL61+AL62+AL63+AL64+AL65+AL66+AL67+AL68+AL69+AL70+AL71+AL72+AL73+AL74+AL75+AL76+AL77+AL78+AL79+AL80+AL81+AL82+AL83+AL84+AL85+AL86+AL87+AL88+AL89+AL90+AL91+AL92+AL93</f>
        <v>0</v>
      </c>
      <c r="AM94" s="374">
        <f>AM6+AM7+AM8+AM9+AM10+AM11+AM12+AM13+AM14+AM15+AM16+AM17+AM18+AM19+AM20+AM21+AM22+AM23+AM24+AM25+AM26+AM27+AM28+AM29+AM30+AM31+AM32+AM33+AM34+AM35+AM36+AM37+AM38+AM39+AM40+AM42+AM43+AM44+AM45+AM46+AM47+AM48+AM49+AM50+AM51+AM52+AM53+AM54+AM55+AM56+AM57+AM58+AM59+AM60+AM61+AM62+AM63+AM64+AM65+AM66+AM67+AM68+AM69+AM70+AM71+AM72+AM73+AM74+AM75+AM76+AM77+AM78+AM79+AM80+AM81+AM82+AM83+AM84+AM85+AM86+AM87+AM88+AM89+AM90+AM91+AM92+AM93</f>
        <v>0</v>
      </c>
      <c r="AN94" s="374">
        <f>AN6+AN7+AN8+AN9+AN10+AN11+AN12+AN13+AN14+AN15+AN16+AN17+AN18+AN19+AN20+AN21+AN22+AN23+AN24+AN25+AN26+AN27+AN28+AN29+AN30+AN31+AN32+AN33+AN34+AN35+AN36+AN37+AN38+AN39+AN40+AN42+AN43+AN44+AN45+AN46+AN47+AN48+AN49+AN50+AN51+AN52+AN53+AN54+AN55+AN56+AN57+AN58+AN59+AN60+AN61+AN62+AN63+AN64+AN65+AN66+AN67+AN68+AN69+AN70+AN71+AN72+AN73+AN74+AN75+AN76+AN77+AN78+AN79+AN80+AN81+AN82+AN83+AN84+AN85+AN86+AN87+AN88+AN89+AN90+AN91+AN92+AN93</f>
        <v>0</v>
      </c>
      <c r="AO94" s="374">
        <f>AO6+AO7+AO8+AO9+AO10+AO11+AO12+AO13+AO14+AO15+AO16+AO17+AO18+AO19+AO20+AO21+AO22+AO23+AO24+AO25+AO26+AO27+AO28+AO29+AO30+AO31+AO32+AO33+AO34+AO35+AO36+AO37+AO38+AO39+AO40+AO42+AO43+AO44+AO45+AO46+AO47+AO48+AO49+AO50+AO51+AO52+AO53+AO54+AO55+AO56+AO57+AO58+AO59+AO60+AO61+AO62+AO63+AO64+AO65+AO66+AO67+AO68+AO69+AO70+AO71+AO72+AO73+AO74+AO75+AO76+AO77+AO78+AO79+AO80+AO81+AO82+AO83+AO84+AO85+AO86+AO87+AO88+AO89+AO90+AO91+AO92+AO93</f>
        <v>0</v>
      </c>
      <c r="AP94" s="374">
        <f>AP6+AP7+AP8+AP9+AP10+AP11+AP12+AP13+AP14+AP15+AP16+AP17+AP18+AP19+AP20+AP21+AP22+AP23+AP24+AP25+AP26+AP27+AP28+AP29+AP30+AP31+AP32+AP33+AP34+AP35+AP36+AP37+AP38+AP39+AP40+AP42+AP43+AP44+AP45+AP46+AP47+AP48+AP49+AP50+AP51+AP52+AP53+AP54+AP55+AP56+AP57+AP58+AP59+AP60+AP61+AP62+AP63+AP64+AP65+AP66+AP67+AP68+AP69+AP70+AP71+AP72+AP73+AP74+AP75+AP76+AP77+AP78+AP79+AP80+AP81+AP82+AP83+AP84+AP85+AP86+AP87+AP88+AP89+AP90+AP91+AP92+AP93</f>
        <v>0</v>
      </c>
      <c r="AQ94" s="380">
        <f>AQ6+AQ7+AQ8+AQ9+AQ10+AQ13+AQ14+AQ39+AQ15+AQ16+AQ17+AQ18+AQ19+AQ20+AQ21+AQ22+AQ24+AQ25+AQ26+AQ27+AQ28+AQ29+AQ30+AQ31+AQ32+AQ33+AQ34+AQ35+AQ36+AQ37+AQ38+AQ40+AQ42+AQ44+AQ48+AQ50+AQ52+AQ53+AQ54+AQ55+AQ56+AQ57+AQ58+AQ60+AQ61+AQ49+AQ62+AQ63+AQ65+AQ64+AQ66+AQ67+AQ68+AQ70+AQ69+AQ71+AQ81+AQ79+AQ80+AQ72</f>
        <v>0</v>
      </c>
      <c r="AR94" s="381"/>
      <c r="AS94" s="382"/>
      <c r="AT94" s="382"/>
      <c r="AU94" s="382"/>
      <c r="AV94" s="382"/>
      <c r="AW94" s="382"/>
      <c r="AX94" s="382"/>
      <c r="AY94" s="382"/>
      <c r="AZ94" s="382"/>
      <c r="BA94" s="382"/>
      <c r="BB94" s="382"/>
      <c r="BC94" s="382"/>
      <c r="BD94" s="382"/>
      <c r="BE94" s="382"/>
      <c r="BF94" s="382"/>
      <c r="BG94" s="382"/>
      <c r="BH94" s="383">
        <f>BH6+BH7+BH8+BH9+BH10+BH13+BH14+BH39+BH15+BH16+BH17+BH18+BH19+BH20+BH21+BH22+BH24+BH25+BH26+BH27+BH28+BH29+BH30+BH31+BH32+BH33+BH34+BH35+BH36+BH37+BH38+BH40+BH42+BH44+BH48+BH50+BH52+BH53+BH54+BH55+BH56+BH57+BH58+BH60+BH61+BH49+BH62+BH63+BH65+BH64+BH66+BH67+BH68+BH70+BH69+BH71+BH81+BH79+BH80+BH72</f>
        <v>0</v>
      </c>
      <c r="BI94" s="374"/>
      <c r="BJ94" s="374">
        <f>BJ6+BJ7+BJ8+BJ9+BJ10+BJ11+BJ12+BJ13+BJ14+BJ15+BJ16+BJ17+BJ18+BJ19+BJ20+BJ21+BJ22+BJ23+BJ24+BJ25+BJ26+BJ27+BJ28+BJ29+BJ30+BJ31+BJ32+BJ33+BJ34+BJ35+BJ36+BJ37+BJ38+BJ39+BJ40+BJ42+BJ43+BJ44+BJ45+BJ46+BJ47+BJ48+BJ49+BJ50+BJ51+BJ52+BJ53+BJ54+BJ55+BJ56+BJ57+BJ58+BJ59+BJ60+BJ61+BJ62+BJ63+BJ64+BJ65+BJ66+BJ67+BJ68+BJ69+BJ70+BJ71+BJ72+BJ73+BJ74+BJ75+BJ76+BJ77+BJ78+BJ79+BJ80+BJ81+BJ82+BJ83+BJ84+BJ85+BJ86+BJ87+BJ88+BJ89+BJ90+BJ91+BJ92+BJ93</f>
        <v>0</v>
      </c>
      <c r="BK94" s="374">
        <f>BK6+BK7+BK8+BK9+BK10+BK11+BK12+BK13+BK14+BK15+BK16+BK17+BK18+BK19+BK20+BK21+BK22+BK23+BK24+BK25+BK26+BK27+BK28+BK29+BK30+BK31+BK32+BK33+BK34+BK35+BK36+BK37+BK38+BK39+BK40+BK42+BK43+BK44+BK45+BK46+BK47+BK48+BK49+BK50+BK51+BK52+BK53+BK54+BK55+BK56+BK57+BK58+BK59+BK60+BK61+BK62+BK63+BK64+BK65+BK66+BK67+BK68+BK69+BK70+BK71+BK72+BK73+BK74+BK75+BK76+BK77+BK78+BK79+BK80+BK81+BK82+BK83+BK84+BK85+BK86+BK87+BK88+BK89+BK90+BK91+BK92+BK93</f>
        <v>0</v>
      </c>
    </row>
  </sheetData>
  <mergeCells count="24">
    <mergeCell ref="S3:S4"/>
    <mergeCell ref="H3:H4"/>
    <mergeCell ref="F3:F4"/>
    <mergeCell ref="Q3:Q4"/>
    <mergeCell ref="N3:N4"/>
    <mergeCell ref="P2:T2"/>
    <mergeCell ref="P94:T94"/>
    <mergeCell ref="J3:J4"/>
    <mergeCell ref="P3:P4"/>
    <mergeCell ref="A5:X5"/>
    <mergeCell ref="M3:M4"/>
    <mergeCell ref="M94:N94"/>
    <mergeCell ref="A1:X1"/>
    <mergeCell ref="L3:L4"/>
    <mergeCell ref="A94:L94"/>
    <mergeCell ref="R3:R4"/>
    <mergeCell ref="A2:D2"/>
    <mergeCell ref="T3:T4"/>
    <mergeCell ref="I3:I4"/>
    <mergeCell ref="E2:N2"/>
    <mergeCell ref="A41:X41"/>
    <mergeCell ref="E3:E4"/>
    <mergeCell ref="G3:G4"/>
    <mergeCell ref="K3:K4"/>
  </mergeCells>
  <conditionalFormatting sqref="X6:X10 X13:X40 X42:X45 X47:X72 D57:D59 X79:X93">
    <cfRule type="cellIs" dxfId="0" priority="1" operator="lessThan" stopIfTrue="1">
      <formula>0</formula>
    </cfRule>
  </conditionalFormatting>
  <conditionalFormatting sqref="D73:D79 D81:D82 D84">
    <cfRule type="cellIs" dxfId="1" priority="1" operator="lessThan" stopIfTrue="1">
      <formula>0</formula>
    </cfRule>
  </conditionalFormatting>
  <hyperlinks>
    <hyperlink ref="A6" r:id="rId1" location="" tooltip="" display=""/>
    <hyperlink ref="A7" r:id="rId2" location="" tooltip="" display=""/>
    <hyperlink ref="A8" r:id="rId3" location="" tooltip="" display=""/>
    <hyperlink ref="A9" r:id="rId4" location="" tooltip="" display=""/>
    <hyperlink ref="A10" r:id="rId5" location="" tooltip="" display=""/>
    <hyperlink ref="A13" r:id="rId6" location="" tooltip="" display=""/>
    <hyperlink ref="A14" r:id="rId7" location="" tooltip="" display=""/>
    <hyperlink ref="A15" r:id="rId8" location="" tooltip="" display=""/>
    <hyperlink ref="A16" r:id="rId9" location="" tooltip="" display=""/>
    <hyperlink ref="A17" r:id="rId10" location="" tooltip="" display=""/>
    <hyperlink ref="A18" r:id="rId11" location="" tooltip="" display=""/>
    <hyperlink ref="A19" r:id="rId12" location="" tooltip="" display=""/>
    <hyperlink ref="A20" r:id="rId13" location="" tooltip="" display=""/>
    <hyperlink ref="A21" r:id="rId14" location="" tooltip="" display=""/>
    <hyperlink ref="A22" r:id="rId15" location="" tooltip="" display=""/>
    <hyperlink ref="A24" r:id="rId16" location="" tooltip="" display=""/>
    <hyperlink ref="A25" r:id="rId17" location="" tooltip="" display=""/>
    <hyperlink ref="A26" r:id="rId18" location="" tooltip="" display=""/>
    <hyperlink ref="A27" r:id="rId19" location="" tooltip="" display=""/>
    <hyperlink ref="A28" r:id="rId20" location="" tooltip="" display=""/>
    <hyperlink ref="A29" r:id="rId21" location="" tooltip="" display=""/>
    <hyperlink ref="A30" r:id="rId22" location="" tooltip="" display=""/>
    <hyperlink ref="A31" r:id="rId23" location="" tooltip="" display=""/>
    <hyperlink ref="A32" r:id="rId24" location="" tooltip="" display=""/>
    <hyperlink ref="A33" r:id="rId25" location="" tooltip="" display=""/>
    <hyperlink ref="A34" r:id="rId26" location="" tooltip="" display=""/>
    <hyperlink ref="A35" r:id="rId27" location="" tooltip="" display=""/>
    <hyperlink ref="A36" r:id="rId28" location="" tooltip="" display=""/>
    <hyperlink ref="A37" r:id="rId29" location="" tooltip="" display=""/>
    <hyperlink ref="A38" r:id="rId30" location="" tooltip="" display=""/>
    <hyperlink ref="A39" r:id="rId31" location="" tooltip="" display=""/>
    <hyperlink ref="A40" r:id="rId32" location="" tooltip="" display=""/>
    <hyperlink ref="A42" r:id="rId33" location="" tooltip="" display=""/>
    <hyperlink ref="A44" r:id="rId34" location="" tooltip="" display=""/>
    <hyperlink ref="A48" r:id="rId35" location="" tooltip="" display=""/>
    <hyperlink ref="A49" r:id="rId36" location="" tooltip="" display=""/>
    <hyperlink ref="A50" r:id="rId37" location="" tooltip="" display=""/>
    <hyperlink ref="A53" r:id="rId38" location="" tooltip="" display=""/>
    <hyperlink ref="A54" r:id="rId39" location="" tooltip="" display=""/>
    <hyperlink ref="A55" r:id="rId40" location="" tooltip="" display=""/>
    <hyperlink ref="A56" r:id="rId41" location="" tooltip="" display=""/>
    <hyperlink ref="A59" r:id="rId42" location="" tooltip="" display=""/>
    <hyperlink ref="A60" r:id="rId43" location="" tooltip="" display=""/>
    <hyperlink ref="A61" r:id="rId44" location="" tooltip="" display=""/>
    <hyperlink ref="A62" r:id="rId45" location="" tooltip="" display=""/>
    <hyperlink ref="A63" r:id="rId46" location="" tooltip="" display=""/>
    <hyperlink ref="A64" r:id="rId47" location="" tooltip="" display=""/>
    <hyperlink ref="A65" r:id="rId48" location="" tooltip="" display=""/>
    <hyperlink ref="A66" r:id="rId49" location="" tooltip="" display=""/>
    <hyperlink ref="A67" r:id="rId50" location="" tooltip="" display=""/>
    <hyperlink ref="A68" r:id="rId51" location="" tooltip="" display=""/>
    <hyperlink ref="A69" r:id="rId52" location="" tooltip="" display=""/>
    <hyperlink ref="A70" r:id="rId53" location="" tooltip="" display=""/>
    <hyperlink ref="A71" r:id="rId54" location="" tooltip="" display=""/>
    <hyperlink ref="A72" r:id="rId55" location="" tooltip="" display=""/>
    <hyperlink ref="A79" r:id="rId56" location="" tooltip="" display=""/>
    <hyperlink ref="A81" r:id="rId57" location="" tooltip="" display=""/>
    <hyperlink ref="A82" r:id="rId58" location="" tooltip="" display=""/>
    <hyperlink ref="A84" r:id="rId59" location="" tooltip="" display=""/>
    <hyperlink ref="A85" r:id="rId60" location="" tooltip="" display=""/>
    <hyperlink ref="A88" r:id="rId61" location="" tooltip="" display=""/>
  </hyperlinks>
  <pageMargins left="0.708661" right="0.708661" top="0.629921" bottom="0.748031" header="0.314961" footer="0.314961"/>
  <pageSetup firstPageNumber="1" fitToHeight="1" fitToWidth="1" scale="100" useFirstPageNumber="0" orientation="landscape" pageOrder="downThenOver"/>
  <headerFooter>
    <oddFooter>&amp;L&amp;"Helvetica,Regular"&amp;12&amp;K000000	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R55"/>
  <sheetViews>
    <sheetView workbookViewId="0" showGridLines="0" defaultGridColor="1"/>
  </sheetViews>
  <sheetFormatPr defaultColWidth="12.5" defaultRowHeight="15.4" customHeight="1" outlineLevelRow="0" outlineLevelCol="0"/>
  <cols>
    <col min="1" max="1" width="29.5" style="384" customWidth="1"/>
    <col min="2" max="2" width="14" style="384" customWidth="1"/>
    <col min="3" max="3" width="8.85156" style="384" customWidth="1"/>
    <col min="4" max="4" width="8.85156" style="384" customWidth="1"/>
    <col min="5" max="5" width="14.5" style="384" customWidth="1"/>
    <col min="6" max="6" width="15" style="384" customWidth="1"/>
    <col min="7" max="7" width="14.3516" style="384" customWidth="1"/>
    <col min="8" max="8" width="12.3516" style="384" customWidth="1"/>
    <col min="9" max="9" width="12.8516" style="384" customWidth="1"/>
    <col min="10" max="10" width="12.6719" style="384" customWidth="1"/>
    <col min="11" max="11" width="14" style="384" customWidth="1"/>
    <col min="12" max="12" width="12.8516" style="384" customWidth="1"/>
    <col min="13" max="13" width="15.3516" style="384" customWidth="1"/>
    <col min="14" max="14" width="16.8516" style="384" customWidth="1"/>
    <col min="15" max="15" width="17.3516" style="384" customWidth="1"/>
    <col min="16" max="16" width="9.67188" style="384" customWidth="1"/>
    <col min="17" max="17" width="11.8516" style="384" customWidth="1"/>
    <col min="18" max="18" width="11.8516" style="384" customWidth="1"/>
    <col min="19" max="256" width="12.5" style="384" customWidth="1"/>
  </cols>
  <sheetData>
    <row r="1" ht="32.15" customHeight="1">
      <c r="A1" t="s" s="385">
        <v>174</v>
      </c>
      <c r="B1" s="12"/>
      <c r="C1" s="12"/>
      <c r="D1" s="12"/>
      <c r="E1" s="107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6"/>
      <c r="R1" s="386"/>
    </row>
    <row r="2" ht="44.1" customHeight="1">
      <c r="A2" t="s" s="123">
        <v>23</v>
      </c>
      <c r="B2" s="12"/>
      <c r="C2" s="12"/>
      <c r="D2" s="14"/>
      <c r="E2" t="s" s="123">
        <v>175</v>
      </c>
      <c r="F2" s="12"/>
      <c r="G2" s="12"/>
      <c r="H2" s="12"/>
      <c r="I2" s="12"/>
      <c r="J2" s="12"/>
      <c r="K2" s="12"/>
      <c r="L2" s="12"/>
      <c r="M2" s="12"/>
      <c r="N2" s="16"/>
      <c r="O2" s="387"/>
      <c r="P2" t="s" s="388">
        <v>176</v>
      </c>
      <c r="Q2" t="s" s="388">
        <v>177</v>
      </c>
      <c r="R2" t="s" s="389">
        <v>57</v>
      </c>
    </row>
    <row r="3" ht="42.55" customHeight="1">
      <c r="A3" t="s" s="390">
        <v>178</v>
      </c>
      <c r="B3" t="s" s="391">
        <v>179</v>
      </c>
      <c r="C3" t="s" s="392">
        <v>180</v>
      </c>
      <c r="D3" t="s" s="393">
        <v>181</v>
      </c>
      <c r="E3" t="s" s="394">
        <v>182</v>
      </c>
      <c r="F3" t="s" s="395">
        <v>183</v>
      </c>
      <c r="G3" t="s" s="396">
        <v>184</v>
      </c>
      <c r="H3" t="s" s="397">
        <v>185</v>
      </c>
      <c r="I3" t="s" s="398">
        <v>186</v>
      </c>
      <c r="J3" t="s" s="399">
        <v>187</v>
      </c>
      <c r="K3" t="s" s="400">
        <v>188</v>
      </c>
      <c r="L3" t="s" s="401">
        <v>189</v>
      </c>
      <c r="M3" t="s" s="402">
        <v>190</v>
      </c>
      <c r="N3" t="s" s="403">
        <v>191</v>
      </c>
      <c r="O3" t="s" s="404">
        <v>192</v>
      </c>
      <c r="P3" s="405"/>
      <c r="Q3" s="405"/>
      <c r="R3" s="406"/>
    </row>
    <row r="4" ht="16.5" customHeight="1">
      <c r="A4" t="s" s="407">
        <v>193</v>
      </c>
      <c r="B4" t="s" s="408">
        <v>194</v>
      </c>
      <c r="C4" s="409">
        <v>15</v>
      </c>
      <c r="D4" s="410">
        <v>125.83</v>
      </c>
      <c r="E4" s="411"/>
      <c r="F4" s="412"/>
      <c r="G4" s="413"/>
      <c r="H4" s="414"/>
      <c r="I4" s="415"/>
      <c r="J4" s="416"/>
      <c r="K4" s="417"/>
      <c r="L4" s="418"/>
      <c r="M4" s="419"/>
      <c r="N4" s="420"/>
      <c r="O4" s="421"/>
      <c r="P4" s="422">
        <f>SUM(E4:O4)</f>
        <v>0</v>
      </c>
      <c r="Q4" s="423">
        <f>D4*P4</f>
        <v>0</v>
      </c>
      <c r="R4" s="424">
        <f>9.1*P4</f>
        <v>0</v>
      </c>
    </row>
    <row r="5" ht="16" customHeight="1">
      <c r="A5" t="s" s="425">
        <v>195</v>
      </c>
      <c r="B5" t="s" s="426">
        <v>196</v>
      </c>
      <c r="C5" s="427">
        <v>10</v>
      </c>
      <c r="D5" s="428">
        <v>155</v>
      </c>
      <c r="E5" s="429"/>
      <c r="F5" s="430"/>
      <c r="G5" s="431"/>
      <c r="H5" s="432"/>
      <c r="I5" s="433"/>
      <c r="J5" s="434"/>
      <c r="K5" s="435"/>
      <c r="L5" s="436"/>
      <c r="M5" s="437"/>
      <c r="N5" s="438"/>
      <c r="O5" s="439"/>
      <c r="P5" s="422">
        <f>SUM(E5:O5)</f>
        <v>0</v>
      </c>
      <c r="Q5" s="423">
        <f>D5*P5</f>
        <v>0</v>
      </c>
      <c r="R5" s="440">
        <f>10.6*P5</f>
        <v>0</v>
      </c>
    </row>
    <row r="6" ht="16" customHeight="1">
      <c r="A6" t="s" s="425">
        <v>197</v>
      </c>
      <c r="B6" t="s" s="426">
        <v>198</v>
      </c>
      <c r="C6" s="427">
        <v>30</v>
      </c>
      <c r="D6" s="428">
        <v>159.17</v>
      </c>
      <c r="E6" s="429"/>
      <c r="F6" s="430"/>
      <c r="G6" s="431"/>
      <c r="H6" s="432"/>
      <c r="I6" s="433"/>
      <c r="J6" s="434"/>
      <c r="K6" s="435"/>
      <c r="L6" s="436"/>
      <c r="M6" s="437"/>
      <c r="N6" s="438"/>
      <c r="O6" s="439"/>
      <c r="P6" s="422">
        <f>SUM(E6:O6)</f>
        <v>0</v>
      </c>
      <c r="Q6" s="423">
        <f>D6*P6</f>
        <v>0</v>
      </c>
      <c r="R6" s="440">
        <f>11.1*P6</f>
        <v>0</v>
      </c>
    </row>
    <row r="7" ht="16" customHeight="1">
      <c r="A7" t="s" s="425">
        <v>199</v>
      </c>
      <c r="B7" t="s" s="426">
        <v>200</v>
      </c>
      <c r="C7" s="427">
        <v>12</v>
      </c>
      <c r="D7" s="428">
        <v>99.17</v>
      </c>
      <c r="E7" s="429"/>
      <c r="F7" s="430"/>
      <c r="G7" s="431"/>
      <c r="H7" s="432"/>
      <c r="I7" s="433"/>
      <c r="J7" s="434"/>
      <c r="K7" s="435"/>
      <c r="L7" s="436"/>
      <c r="M7" s="437"/>
      <c r="N7" s="438"/>
      <c r="O7" s="439"/>
      <c r="P7" s="422">
        <f>SUM(E7:O7)</f>
        <v>0</v>
      </c>
      <c r="Q7" s="423">
        <f>D7*P7</f>
        <v>0</v>
      </c>
      <c r="R7" s="440">
        <f>5.2*P7</f>
        <v>0</v>
      </c>
    </row>
    <row r="8" ht="16" customHeight="1">
      <c r="A8" t="s" s="425">
        <v>201</v>
      </c>
      <c r="B8" t="s" s="426">
        <v>202</v>
      </c>
      <c r="C8" s="427">
        <v>30</v>
      </c>
      <c r="D8" s="428">
        <v>85</v>
      </c>
      <c r="E8" s="441"/>
      <c r="F8" s="442"/>
      <c r="G8" s="443"/>
      <c r="H8" s="444"/>
      <c r="I8" s="445"/>
      <c r="J8" s="446"/>
      <c r="K8" s="447"/>
      <c r="L8" s="448"/>
      <c r="M8" s="449"/>
      <c r="N8" s="450"/>
      <c r="O8" s="451"/>
      <c r="P8" s="422">
        <f>SUM(E8:O8)</f>
        <v>0</v>
      </c>
      <c r="Q8" s="423">
        <f>D8*P8</f>
        <v>0</v>
      </c>
      <c r="R8" s="452">
        <f>4.5*P8</f>
        <v>0</v>
      </c>
    </row>
    <row r="9" ht="16" customHeight="1">
      <c r="A9" t="s" s="425">
        <v>203</v>
      </c>
      <c r="B9" t="s" s="426">
        <v>204</v>
      </c>
      <c r="C9" s="427">
        <v>30</v>
      </c>
      <c r="D9" s="428">
        <v>85</v>
      </c>
      <c r="E9" s="453"/>
      <c r="F9" s="454"/>
      <c r="G9" s="455"/>
      <c r="H9" s="456"/>
      <c r="I9" s="457"/>
      <c r="J9" s="458"/>
      <c r="K9" s="459"/>
      <c r="L9" s="460"/>
      <c r="M9" s="461"/>
      <c r="N9" s="462"/>
      <c r="O9" s="463"/>
      <c r="P9" s="422">
        <f>SUM(E9:O9)</f>
        <v>0</v>
      </c>
      <c r="Q9" s="423">
        <f>D9*P9</f>
        <v>0</v>
      </c>
      <c r="R9" s="464">
        <f>4.5*P9</f>
        <v>0</v>
      </c>
    </row>
    <row r="10" ht="16.5" customHeight="1">
      <c r="A10" t="s" s="425">
        <v>205</v>
      </c>
      <c r="B10" t="s" s="426">
        <v>206</v>
      </c>
      <c r="C10" s="427">
        <v>10</v>
      </c>
      <c r="D10" s="428">
        <v>150.83</v>
      </c>
      <c r="E10" s="429"/>
      <c r="F10" s="430"/>
      <c r="G10" s="431"/>
      <c r="H10" s="432"/>
      <c r="I10" s="433"/>
      <c r="J10" s="434"/>
      <c r="K10" s="435"/>
      <c r="L10" s="436"/>
      <c r="M10" s="437"/>
      <c r="N10" s="438"/>
      <c r="O10" s="439"/>
      <c r="P10" s="422">
        <f>SUM(E10:O10)</f>
        <v>0</v>
      </c>
      <c r="Q10" s="423">
        <f>D10*P10</f>
        <v>0</v>
      </c>
      <c r="R10" s="440">
        <f>10.6*P10</f>
        <v>0</v>
      </c>
    </row>
    <row r="11" ht="16.5" customHeight="1">
      <c r="A11" t="s" s="425">
        <v>207</v>
      </c>
      <c r="B11" t="s" s="426">
        <v>208</v>
      </c>
      <c r="C11" s="427">
        <v>12</v>
      </c>
      <c r="D11" s="465">
        <v>59.5</v>
      </c>
      <c r="E11" s="466"/>
      <c r="F11" s="430"/>
      <c r="G11" s="431"/>
      <c r="H11" s="432"/>
      <c r="I11" s="433"/>
      <c r="J11" s="434"/>
      <c r="K11" s="435"/>
      <c r="L11" s="436"/>
      <c r="M11" s="437"/>
      <c r="N11" s="438"/>
      <c r="O11" s="439"/>
      <c r="P11" s="422">
        <f>SUM(E11:O11)</f>
        <v>0</v>
      </c>
      <c r="Q11" s="423">
        <f>D11*P11</f>
        <v>0</v>
      </c>
      <c r="R11" s="440">
        <f>P11*2.42</f>
        <v>0</v>
      </c>
    </row>
    <row r="12" ht="16.5" customHeight="1">
      <c r="A12" t="s" s="467">
        <v>209</v>
      </c>
      <c r="B12" t="s" s="426">
        <v>208</v>
      </c>
      <c r="C12" s="427">
        <v>12</v>
      </c>
      <c r="D12" s="465">
        <v>45.35</v>
      </c>
      <c r="E12" s="466"/>
      <c r="F12" s="430"/>
      <c r="G12" s="431"/>
      <c r="H12" s="432"/>
      <c r="I12" s="433"/>
      <c r="J12" s="434"/>
      <c r="K12" s="435"/>
      <c r="L12" s="436"/>
      <c r="M12" s="437"/>
      <c r="N12" s="438"/>
      <c r="O12" s="439"/>
      <c r="P12" s="422">
        <f>SUM(E12:O12)</f>
        <v>0</v>
      </c>
      <c r="Q12" s="423">
        <f>D12*P12</f>
        <v>0</v>
      </c>
      <c r="R12" s="440">
        <f>P12*2.42</f>
        <v>0</v>
      </c>
    </row>
    <row r="13" ht="16.5" customHeight="1">
      <c r="A13" t="s" s="425">
        <v>210</v>
      </c>
      <c r="B13" t="s" s="426">
        <v>211</v>
      </c>
      <c r="C13" s="427">
        <v>15</v>
      </c>
      <c r="D13" s="428">
        <v>76.67</v>
      </c>
      <c r="E13" s="468"/>
      <c r="F13" s="442"/>
      <c r="G13" s="443"/>
      <c r="H13" s="444"/>
      <c r="I13" s="445"/>
      <c r="J13" s="446"/>
      <c r="K13" s="447"/>
      <c r="L13" s="448"/>
      <c r="M13" s="449"/>
      <c r="N13" s="450"/>
      <c r="O13" s="451"/>
      <c r="P13" s="422">
        <f>SUM(E13:O13)</f>
        <v>0</v>
      </c>
      <c r="Q13" s="423">
        <f>D13*P13</f>
        <v>0</v>
      </c>
      <c r="R13" s="440">
        <f>P13*2.42</f>
        <v>0</v>
      </c>
    </row>
    <row r="14" ht="16.5" customHeight="1">
      <c r="A14" t="s" s="425">
        <v>212</v>
      </c>
      <c r="B14" t="s" s="426">
        <v>211</v>
      </c>
      <c r="C14" s="427">
        <v>15</v>
      </c>
      <c r="D14" s="428">
        <v>61.67</v>
      </c>
      <c r="E14" s="453"/>
      <c r="F14" s="454"/>
      <c r="G14" s="455"/>
      <c r="H14" s="456"/>
      <c r="I14" s="457"/>
      <c r="J14" s="458"/>
      <c r="K14" s="459"/>
      <c r="L14" s="460"/>
      <c r="M14" s="461"/>
      <c r="N14" s="462"/>
      <c r="O14" s="463"/>
      <c r="P14" s="422">
        <f>SUM(E14:O14)</f>
        <v>0</v>
      </c>
      <c r="Q14" s="423">
        <f>D14*P14</f>
        <v>0</v>
      </c>
      <c r="R14" s="452">
        <f>P14*2.42</f>
        <v>0</v>
      </c>
    </row>
    <row r="15" ht="16.5" customHeight="1">
      <c r="A15" t="s" s="425">
        <v>213</v>
      </c>
      <c r="B15" t="s" s="426">
        <v>214</v>
      </c>
      <c r="C15" s="427">
        <v>18</v>
      </c>
      <c r="D15" s="428">
        <v>55</v>
      </c>
      <c r="E15" s="429"/>
      <c r="F15" s="430"/>
      <c r="G15" s="431"/>
      <c r="H15" s="432"/>
      <c r="I15" s="433"/>
      <c r="J15" s="434"/>
      <c r="K15" s="435"/>
      <c r="L15" s="436"/>
      <c r="M15" s="437"/>
      <c r="N15" s="438"/>
      <c r="O15" s="439"/>
      <c r="P15" s="422">
        <f>SUM(E15:O15)</f>
        <v>0</v>
      </c>
      <c r="Q15" s="423">
        <f>D15*P15</f>
        <v>0</v>
      </c>
      <c r="R15" s="464">
        <f>P15*2.87</f>
        <v>0</v>
      </c>
    </row>
    <row r="16" ht="16.5" customHeight="1">
      <c r="A16" t="s" s="425">
        <v>215</v>
      </c>
      <c r="B16" t="s" s="426">
        <v>214</v>
      </c>
      <c r="C16" s="427">
        <v>18</v>
      </c>
      <c r="D16" s="428">
        <v>40.83</v>
      </c>
      <c r="E16" s="429"/>
      <c r="F16" s="430"/>
      <c r="G16" s="431"/>
      <c r="H16" s="432"/>
      <c r="I16" s="433"/>
      <c r="J16" s="434"/>
      <c r="K16" s="435"/>
      <c r="L16" s="436"/>
      <c r="M16" s="437"/>
      <c r="N16" s="438"/>
      <c r="O16" s="439"/>
      <c r="P16" s="422">
        <f>SUM(E16:O16)</f>
        <v>0</v>
      </c>
      <c r="Q16" s="423">
        <f>D16*P16</f>
        <v>0</v>
      </c>
      <c r="R16" s="440">
        <f>P16*2.87</f>
        <v>0</v>
      </c>
    </row>
    <row r="17" ht="16.5" customHeight="1">
      <c r="A17" t="s" s="425">
        <v>216</v>
      </c>
      <c r="B17" t="s" s="426">
        <v>217</v>
      </c>
      <c r="C17" s="427">
        <v>16</v>
      </c>
      <c r="D17" s="465">
        <v>80</v>
      </c>
      <c r="E17" s="429"/>
      <c r="F17" s="430"/>
      <c r="G17" s="431"/>
      <c r="H17" s="432"/>
      <c r="I17" s="433"/>
      <c r="J17" s="434"/>
      <c r="K17" s="435"/>
      <c r="L17" s="436"/>
      <c r="M17" s="437"/>
      <c r="N17" s="438"/>
      <c r="O17" s="439"/>
      <c r="P17" s="422">
        <f>SUM(E17:O17)</f>
        <v>0</v>
      </c>
      <c r="Q17" s="423">
        <f>D17*P17</f>
        <v>0</v>
      </c>
      <c r="R17" s="440">
        <f>P17*2.57</f>
        <v>0</v>
      </c>
    </row>
    <row r="18" ht="16.5" customHeight="1">
      <c r="A18" t="s" s="425">
        <v>218</v>
      </c>
      <c r="B18" t="s" s="426">
        <v>217</v>
      </c>
      <c r="C18" s="427">
        <v>16</v>
      </c>
      <c r="D18" s="465">
        <v>65.8</v>
      </c>
      <c r="E18" s="441"/>
      <c r="F18" s="442"/>
      <c r="G18" s="443"/>
      <c r="H18" s="444"/>
      <c r="I18" s="445"/>
      <c r="J18" s="446"/>
      <c r="K18" s="447"/>
      <c r="L18" s="448"/>
      <c r="M18" s="449"/>
      <c r="N18" s="450"/>
      <c r="O18" s="451"/>
      <c r="P18" s="422">
        <f>SUM(E18:O18)</f>
        <v>0</v>
      </c>
      <c r="Q18" s="423">
        <f>D18*P18</f>
        <v>0</v>
      </c>
      <c r="R18" s="440">
        <f>P18*2.57</f>
        <v>0</v>
      </c>
    </row>
    <row r="19" ht="16.5" customHeight="1">
      <c r="A19" t="s" s="425">
        <v>219</v>
      </c>
      <c r="B19" t="s" s="426">
        <v>220</v>
      </c>
      <c r="C19" s="427">
        <v>9</v>
      </c>
      <c r="D19" s="428">
        <v>71.67</v>
      </c>
      <c r="E19" s="453"/>
      <c r="F19" s="454"/>
      <c r="G19" s="455"/>
      <c r="H19" s="456"/>
      <c r="I19" s="457"/>
      <c r="J19" s="458"/>
      <c r="K19" s="459"/>
      <c r="L19" s="460"/>
      <c r="M19" s="461"/>
      <c r="N19" s="462"/>
      <c r="O19" s="463"/>
      <c r="P19" s="422">
        <f>SUM(E19:O19)</f>
        <v>0</v>
      </c>
      <c r="Q19" s="423">
        <f>D19*P19</f>
        <v>0</v>
      </c>
      <c r="R19" s="452">
        <f>P19*3.02</f>
        <v>0</v>
      </c>
    </row>
    <row r="20" ht="16.5" customHeight="1">
      <c r="A20" t="s" s="425">
        <v>221</v>
      </c>
      <c r="B20" t="s" s="426">
        <v>220</v>
      </c>
      <c r="C20" s="427">
        <v>9</v>
      </c>
      <c r="D20" s="428">
        <v>56.67</v>
      </c>
      <c r="E20" s="429"/>
      <c r="F20" s="430"/>
      <c r="G20" s="431"/>
      <c r="H20" s="432"/>
      <c r="I20" s="433"/>
      <c r="J20" s="434"/>
      <c r="K20" s="435"/>
      <c r="L20" s="436"/>
      <c r="M20" s="437"/>
      <c r="N20" s="438"/>
      <c r="O20" s="439"/>
      <c r="P20" s="422">
        <f>SUM(E20:O20)</f>
        <v>0</v>
      </c>
      <c r="Q20" s="423">
        <f>D20*P20</f>
        <v>0</v>
      </c>
      <c r="R20" s="464">
        <f>P20*3.02</f>
        <v>0</v>
      </c>
    </row>
    <row r="21" ht="16.5" customHeight="1">
      <c r="A21" t="s" s="425">
        <v>222</v>
      </c>
      <c r="B21" t="s" s="426">
        <v>223</v>
      </c>
      <c r="C21" s="427">
        <v>3</v>
      </c>
      <c r="D21" s="465">
        <v>45</v>
      </c>
      <c r="E21" s="429"/>
      <c r="F21" s="430"/>
      <c r="G21" s="431"/>
      <c r="H21" s="432"/>
      <c r="I21" s="433"/>
      <c r="J21" s="434"/>
      <c r="K21" s="435"/>
      <c r="L21" s="436"/>
      <c r="M21" s="437"/>
      <c r="N21" s="438"/>
      <c r="O21" s="439"/>
      <c r="P21" s="422">
        <f>SUM(E21:O21)</f>
        <v>0</v>
      </c>
      <c r="Q21" s="423">
        <f>D21*P21</f>
        <v>0</v>
      </c>
      <c r="R21" s="440">
        <f>P21*0.76</f>
        <v>0</v>
      </c>
    </row>
    <row r="22" ht="16.5" customHeight="1">
      <c r="A22" t="s" s="425">
        <v>224</v>
      </c>
      <c r="B22" t="s" s="426">
        <v>223</v>
      </c>
      <c r="C22" s="427">
        <v>3</v>
      </c>
      <c r="D22" s="465">
        <v>30.83</v>
      </c>
      <c r="E22" s="429"/>
      <c r="F22" s="430"/>
      <c r="G22" s="431"/>
      <c r="H22" s="432"/>
      <c r="I22" s="433"/>
      <c r="J22" s="434"/>
      <c r="K22" s="435"/>
      <c r="L22" s="436"/>
      <c r="M22" s="437"/>
      <c r="N22" s="438"/>
      <c r="O22" s="439"/>
      <c r="P22" s="422">
        <f>SUM(E22:O22)</f>
        <v>0</v>
      </c>
      <c r="Q22" s="423">
        <f>D22*P22</f>
        <v>0</v>
      </c>
      <c r="R22" s="440">
        <f>P22*0.76</f>
        <v>0</v>
      </c>
    </row>
    <row r="23" ht="16.5" customHeight="1">
      <c r="A23" t="s" s="425">
        <v>225</v>
      </c>
      <c r="B23" t="s" s="426">
        <v>226</v>
      </c>
      <c r="C23" s="427">
        <v>4</v>
      </c>
      <c r="D23" s="428">
        <v>63.33</v>
      </c>
      <c r="E23" s="441"/>
      <c r="F23" s="442"/>
      <c r="G23" s="443"/>
      <c r="H23" s="444"/>
      <c r="I23" s="445"/>
      <c r="J23" s="446"/>
      <c r="K23" s="447"/>
      <c r="L23" s="448"/>
      <c r="M23" s="449"/>
      <c r="N23" s="450"/>
      <c r="O23" s="451"/>
      <c r="P23" s="422">
        <f>SUM(E23:O23)</f>
        <v>0</v>
      </c>
      <c r="Q23" s="423">
        <f>D23*P23</f>
        <v>0</v>
      </c>
      <c r="R23" s="440">
        <f>P23*1.36</f>
        <v>0</v>
      </c>
    </row>
    <row r="24" ht="16.5" customHeight="1">
      <c r="A24" t="s" s="425">
        <v>227</v>
      </c>
      <c r="B24" t="s" s="426">
        <v>226</v>
      </c>
      <c r="C24" s="427">
        <v>4</v>
      </c>
      <c r="D24" s="428">
        <v>49.17</v>
      </c>
      <c r="E24" s="453"/>
      <c r="F24" s="454"/>
      <c r="G24" s="455"/>
      <c r="H24" s="456"/>
      <c r="I24" s="457"/>
      <c r="J24" s="458"/>
      <c r="K24" s="459"/>
      <c r="L24" s="460"/>
      <c r="M24" s="461"/>
      <c r="N24" s="462"/>
      <c r="O24" s="463"/>
      <c r="P24" s="422">
        <f>SUM(E24:O24)</f>
        <v>0</v>
      </c>
      <c r="Q24" s="423">
        <f>D24*P24</f>
        <v>0</v>
      </c>
      <c r="R24" s="452">
        <f>P24*1.36</f>
        <v>0</v>
      </c>
    </row>
    <row r="25" ht="16.5" customHeight="1">
      <c r="A25" t="s" s="425">
        <v>228</v>
      </c>
      <c r="B25" t="s" s="426">
        <v>229</v>
      </c>
      <c r="C25" s="427">
        <v>4</v>
      </c>
      <c r="D25" s="428">
        <v>55.83</v>
      </c>
      <c r="E25" s="429"/>
      <c r="F25" s="430"/>
      <c r="G25" s="431"/>
      <c r="H25" s="432"/>
      <c r="I25" s="433"/>
      <c r="J25" s="434"/>
      <c r="K25" s="435"/>
      <c r="L25" s="436"/>
      <c r="M25" s="437"/>
      <c r="N25" s="438"/>
      <c r="O25" s="439"/>
      <c r="P25" s="422">
        <f>SUM(E25:O25)</f>
        <v>0</v>
      </c>
      <c r="Q25" s="423">
        <f>D25*P25</f>
        <v>0</v>
      </c>
      <c r="R25" s="464">
        <f>P25*1.21</f>
        <v>0</v>
      </c>
    </row>
    <row r="26" ht="16.5" customHeight="1">
      <c r="A26" t="s" s="425">
        <v>230</v>
      </c>
      <c r="B26" t="s" s="426">
        <v>229</v>
      </c>
      <c r="C26" s="427">
        <v>4</v>
      </c>
      <c r="D26" s="428">
        <v>40.83</v>
      </c>
      <c r="E26" s="429"/>
      <c r="F26" s="430"/>
      <c r="G26" s="431"/>
      <c r="H26" s="432"/>
      <c r="I26" s="433"/>
      <c r="J26" s="434"/>
      <c r="K26" s="435"/>
      <c r="L26" s="436"/>
      <c r="M26" s="437"/>
      <c r="N26" s="438"/>
      <c r="O26" s="439"/>
      <c r="P26" s="422">
        <f>SUM(E26:O26)</f>
        <v>0</v>
      </c>
      <c r="Q26" s="423">
        <f>D26*P26</f>
        <v>0</v>
      </c>
      <c r="R26" s="440">
        <f>P26*1.21</f>
        <v>0</v>
      </c>
    </row>
    <row r="27" ht="16.5" customHeight="1">
      <c r="A27" t="s" s="425">
        <v>231</v>
      </c>
      <c r="B27" t="s" s="426">
        <v>232</v>
      </c>
      <c r="C27" s="427">
        <v>12</v>
      </c>
      <c r="D27" s="465">
        <v>35</v>
      </c>
      <c r="E27" s="429"/>
      <c r="F27" s="430"/>
      <c r="G27" s="431"/>
      <c r="H27" s="432"/>
      <c r="I27" s="433"/>
      <c r="J27" s="434"/>
      <c r="K27" s="435"/>
      <c r="L27" s="436"/>
      <c r="M27" s="437"/>
      <c r="N27" s="438"/>
      <c r="O27" s="439"/>
      <c r="P27" s="422">
        <f>SUM(E27:O27)</f>
        <v>0</v>
      </c>
      <c r="Q27" s="423">
        <f>D27*P27</f>
        <v>0</v>
      </c>
      <c r="R27" s="440">
        <f>P27*1.51</f>
        <v>0</v>
      </c>
    </row>
    <row r="28" ht="16.5" customHeight="1">
      <c r="A28" t="s" s="425">
        <v>233</v>
      </c>
      <c r="B28" t="s" s="426">
        <v>234</v>
      </c>
      <c r="C28" s="427">
        <v>5</v>
      </c>
      <c r="D28" s="465">
        <v>35</v>
      </c>
      <c r="E28" s="441"/>
      <c r="F28" s="442"/>
      <c r="G28" s="443"/>
      <c r="H28" s="444"/>
      <c r="I28" s="445"/>
      <c r="J28" s="446"/>
      <c r="K28" s="447"/>
      <c r="L28" s="448"/>
      <c r="M28" s="449"/>
      <c r="N28" s="450"/>
      <c r="O28" s="451"/>
      <c r="P28" s="422">
        <f>SUM(E28:O28)</f>
        <v>0</v>
      </c>
      <c r="Q28" s="423">
        <f>D28*P28</f>
        <v>0</v>
      </c>
      <c r="R28" s="452">
        <f>P28*1.36</f>
        <v>0</v>
      </c>
    </row>
    <row r="29" ht="16.5" customHeight="1">
      <c r="A29" t="s" s="425">
        <v>235</v>
      </c>
      <c r="B29" t="s" s="426">
        <v>236</v>
      </c>
      <c r="C29" s="427">
        <v>30</v>
      </c>
      <c r="D29" s="465">
        <v>149.17</v>
      </c>
      <c r="E29" s="453"/>
      <c r="F29" s="454"/>
      <c r="G29" s="455"/>
      <c r="H29" s="456"/>
      <c r="I29" s="457"/>
      <c r="J29" s="458"/>
      <c r="K29" s="459"/>
      <c r="L29" s="460"/>
      <c r="M29" s="461"/>
      <c r="N29" s="462"/>
      <c r="O29" s="463"/>
      <c r="P29" s="422">
        <f>SUM(E29:O29)</f>
        <v>0</v>
      </c>
      <c r="Q29" s="423">
        <f>D29*P29</f>
        <v>0</v>
      </c>
      <c r="R29" s="464">
        <f>P29*9.37</f>
        <v>0</v>
      </c>
    </row>
    <row r="30" ht="16.5" customHeight="1">
      <c r="A30" t="s" s="425">
        <v>237</v>
      </c>
      <c r="B30" t="s" s="426">
        <v>238</v>
      </c>
      <c r="C30" s="427">
        <v>20</v>
      </c>
      <c r="D30" s="428">
        <v>90.83</v>
      </c>
      <c r="E30" s="429"/>
      <c r="F30" s="430"/>
      <c r="G30" s="431"/>
      <c r="H30" s="432"/>
      <c r="I30" s="433"/>
      <c r="J30" s="434"/>
      <c r="K30" s="435"/>
      <c r="L30" s="436"/>
      <c r="M30" s="437"/>
      <c r="N30" s="438"/>
      <c r="O30" s="439"/>
      <c r="P30" s="422">
        <f>SUM(E30:O30)</f>
        <v>0</v>
      </c>
      <c r="Q30" s="423">
        <f>D30*P30</f>
        <v>0</v>
      </c>
      <c r="R30" s="440">
        <f>P30*3.02</f>
        <v>0</v>
      </c>
    </row>
    <row r="31" ht="16.5" customHeight="1">
      <c r="A31" t="s" s="425">
        <v>239</v>
      </c>
      <c r="B31" t="s" s="426">
        <v>238</v>
      </c>
      <c r="C31" s="427">
        <v>15</v>
      </c>
      <c r="D31" s="428">
        <v>90.83</v>
      </c>
      <c r="E31" s="429"/>
      <c r="F31" s="430"/>
      <c r="G31" s="431"/>
      <c r="H31" s="432"/>
      <c r="I31" s="433"/>
      <c r="J31" s="434"/>
      <c r="K31" s="435"/>
      <c r="L31" s="436"/>
      <c r="M31" s="437"/>
      <c r="N31" s="438"/>
      <c r="O31" s="439"/>
      <c r="P31" s="422">
        <f>SUM(E31:O31)</f>
        <v>0</v>
      </c>
      <c r="Q31" s="423">
        <f>D31*P31</f>
        <v>0</v>
      </c>
      <c r="R31" s="440">
        <f>P31*3.02</f>
        <v>0</v>
      </c>
    </row>
    <row r="32" ht="16.5" customHeight="1">
      <c r="A32" t="s" s="425">
        <v>240</v>
      </c>
      <c r="B32" t="s" s="426">
        <v>238</v>
      </c>
      <c r="C32" s="427">
        <v>50</v>
      </c>
      <c r="D32" s="465">
        <v>190</v>
      </c>
      <c r="E32" s="429"/>
      <c r="F32" s="430"/>
      <c r="G32" s="431"/>
      <c r="H32" s="432"/>
      <c r="I32" s="433"/>
      <c r="J32" s="434"/>
      <c r="K32" s="435"/>
      <c r="L32" s="436"/>
      <c r="M32" s="437"/>
      <c r="N32" s="438"/>
      <c r="O32" s="439"/>
      <c r="P32" s="422">
        <f>SUM(E32:O32)</f>
        <v>0</v>
      </c>
      <c r="Q32" s="423">
        <f>D32*P32</f>
        <v>0</v>
      </c>
      <c r="R32" s="440">
        <f>P32*12.7</f>
        <v>0</v>
      </c>
    </row>
    <row r="33" ht="16.5" customHeight="1">
      <c r="A33" t="s" s="425">
        <v>241</v>
      </c>
      <c r="B33" t="s" s="426">
        <v>238</v>
      </c>
      <c r="C33" s="427">
        <v>18</v>
      </c>
      <c r="D33" s="428">
        <v>108.33</v>
      </c>
      <c r="E33" s="441"/>
      <c r="F33" s="442"/>
      <c r="G33" s="443"/>
      <c r="H33" s="444"/>
      <c r="I33" s="445"/>
      <c r="J33" s="446"/>
      <c r="K33" s="447"/>
      <c r="L33" s="448"/>
      <c r="M33" s="449"/>
      <c r="N33" s="450"/>
      <c r="O33" s="451"/>
      <c r="P33" s="422">
        <f>SUM(E33:O33)</f>
        <v>0</v>
      </c>
      <c r="Q33" s="423">
        <f>D33*P33</f>
        <v>0</v>
      </c>
      <c r="R33" s="440">
        <f>P33*6.05</f>
        <v>0</v>
      </c>
    </row>
    <row r="34" ht="16.5" customHeight="1">
      <c r="A34" t="s" s="425">
        <v>242</v>
      </c>
      <c r="B34" t="s" s="426">
        <v>243</v>
      </c>
      <c r="C34" s="427">
        <v>9</v>
      </c>
      <c r="D34" s="428">
        <v>125.83</v>
      </c>
      <c r="E34" s="453"/>
      <c r="F34" s="454"/>
      <c r="G34" s="455"/>
      <c r="H34" s="456"/>
      <c r="I34" s="457"/>
      <c r="J34" s="458"/>
      <c r="K34" s="459"/>
      <c r="L34" s="460"/>
      <c r="M34" s="461"/>
      <c r="N34" s="462"/>
      <c r="O34" s="463"/>
      <c r="P34" s="422">
        <f>SUM(E34:O34)</f>
        <v>0</v>
      </c>
      <c r="Q34" s="423">
        <f>D34*P34</f>
        <v>0</v>
      </c>
      <c r="R34" s="452">
        <f>P34*6.05</f>
        <v>0</v>
      </c>
    </row>
    <row r="35" ht="16.5" customHeight="1">
      <c r="A35" t="s" s="425">
        <v>244</v>
      </c>
      <c r="B35" t="s" s="426">
        <v>236</v>
      </c>
      <c r="C35" s="427">
        <v>30</v>
      </c>
      <c r="D35" s="428">
        <v>203.33</v>
      </c>
      <c r="E35" s="429"/>
      <c r="F35" s="430"/>
      <c r="G35" s="431"/>
      <c r="H35" s="432"/>
      <c r="I35" s="433"/>
      <c r="J35" s="434"/>
      <c r="K35" s="435"/>
      <c r="L35" s="436"/>
      <c r="M35" s="437"/>
      <c r="N35" s="438"/>
      <c r="O35" s="439"/>
      <c r="P35" s="422">
        <f>SUM(E35:O35)</f>
        <v>0</v>
      </c>
      <c r="Q35" s="423">
        <f>D35*P35</f>
        <v>0</v>
      </c>
      <c r="R35" s="464">
        <f>P35*12.1</f>
        <v>0</v>
      </c>
    </row>
    <row r="36" ht="16.5" customHeight="1">
      <c r="A36" t="s" s="425">
        <v>245</v>
      </c>
      <c r="B36" t="s" s="426">
        <v>238</v>
      </c>
      <c r="C36" s="427">
        <v>20</v>
      </c>
      <c r="D36" s="465">
        <v>106.67</v>
      </c>
      <c r="E36" s="429"/>
      <c r="F36" s="430"/>
      <c r="G36" s="431"/>
      <c r="H36" s="432"/>
      <c r="I36" s="433"/>
      <c r="J36" s="434"/>
      <c r="K36" s="435"/>
      <c r="L36" s="436"/>
      <c r="M36" s="437"/>
      <c r="N36" s="438"/>
      <c r="O36" s="439"/>
      <c r="P36" s="422">
        <f>SUM(E36:O36)</f>
        <v>0</v>
      </c>
      <c r="Q36" s="423">
        <f>D36*P36</f>
        <v>0</v>
      </c>
      <c r="R36" s="440">
        <f>P36*4.54</f>
        <v>0</v>
      </c>
    </row>
    <row r="37" ht="16.5" customHeight="1">
      <c r="A37" t="s" s="425">
        <v>246</v>
      </c>
      <c r="B37" t="s" s="426">
        <v>238</v>
      </c>
      <c r="C37" s="427">
        <v>15</v>
      </c>
      <c r="D37" s="428">
        <v>104.17</v>
      </c>
      <c r="E37" s="429"/>
      <c r="F37" s="430"/>
      <c r="G37" s="431"/>
      <c r="H37" s="432"/>
      <c r="I37" s="433"/>
      <c r="J37" s="434"/>
      <c r="K37" s="435"/>
      <c r="L37" s="436"/>
      <c r="M37" s="437"/>
      <c r="N37" s="438"/>
      <c r="O37" s="439"/>
      <c r="P37" s="422">
        <f>SUM(E37:O37)</f>
        <v>0</v>
      </c>
      <c r="Q37" s="423">
        <f>D37*P37</f>
        <v>0</v>
      </c>
      <c r="R37" s="440">
        <f>P37*4.69</f>
        <v>0</v>
      </c>
    </row>
    <row r="38" ht="16.5" customHeight="1">
      <c r="A38" t="s" s="425">
        <v>247</v>
      </c>
      <c r="B38" t="s" s="426">
        <v>238</v>
      </c>
      <c r="C38" s="427">
        <v>50</v>
      </c>
      <c r="D38" s="428">
        <v>241.67</v>
      </c>
      <c r="E38" s="441"/>
      <c r="F38" s="442"/>
      <c r="G38" s="443"/>
      <c r="H38" s="444"/>
      <c r="I38" s="445"/>
      <c r="J38" s="446"/>
      <c r="K38" s="447"/>
      <c r="L38" s="448"/>
      <c r="M38" s="449"/>
      <c r="N38" s="450"/>
      <c r="O38" s="451"/>
      <c r="P38" s="422">
        <f>SUM(E38:O38)</f>
        <v>0</v>
      </c>
      <c r="Q38" s="423">
        <f>D38*P38</f>
        <v>0</v>
      </c>
      <c r="R38" s="452">
        <f>P38*15.12</f>
        <v>0</v>
      </c>
    </row>
    <row r="39" ht="16.5" customHeight="1">
      <c r="A39" t="s" s="425">
        <v>248</v>
      </c>
      <c r="B39" t="s" s="426">
        <v>238</v>
      </c>
      <c r="C39" s="427">
        <v>18</v>
      </c>
      <c r="D39" s="428">
        <v>141.67</v>
      </c>
      <c r="E39" s="453"/>
      <c r="F39" s="454"/>
      <c r="G39" s="455"/>
      <c r="H39" s="456"/>
      <c r="I39" s="457"/>
      <c r="J39" s="458"/>
      <c r="K39" s="459"/>
      <c r="L39" s="460"/>
      <c r="M39" s="461"/>
      <c r="N39" s="462"/>
      <c r="O39" s="463"/>
      <c r="P39" s="422">
        <f>SUM(E39:O39)</f>
        <v>0</v>
      </c>
      <c r="Q39" s="423">
        <f>D39*P39</f>
        <v>0</v>
      </c>
      <c r="R39" s="464">
        <f>P39*9.07</f>
        <v>0</v>
      </c>
    </row>
    <row r="40" ht="16.5" customHeight="1">
      <c r="A40" t="s" s="425">
        <v>249</v>
      </c>
      <c r="B40" t="s" s="426">
        <v>243</v>
      </c>
      <c r="C40" s="427">
        <v>9</v>
      </c>
      <c r="D40" s="428">
        <v>120</v>
      </c>
      <c r="E40" s="429"/>
      <c r="F40" s="430"/>
      <c r="G40" s="431"/>
      <c r="H40" s="432"/>
      <c r="I40" s="433"/>
      <c r="J40" s="434"/>
      <c r="K40" s="435"/>
      <c r="L40" s="436"/>
      <c r="M40" s="437"/>
      <c r="N40" s="438"/>
      <c r="O40" s="439"/>
      <c r="P40" s="422">
        <f>SUM(E40:O40)</f>
        <v>0</v>
      </c>
      <c r="Q40" s="423">
        <f>D40*P40</f>
        <v>0</v>
      </c>
      <c r="R40" s="440">
        <f>P40*7.56</f>
        <v>0</v>
      </c>
    </row>
    <row r="41" ht="16.5" customHeight="1">
      <c r="A41" t="s" s="425">
        <v>250</v>
      </c>
      <c r="B41" t="s" s="426">
        <v>251</v>
      </c>
      <c r="C41" s="427">
        <v>22</v>
      </c>
      <c r="D41" s="428">
        <v>147.5</v>
      </c>
      <c r="E41" s="429"/>
      <c r="F41" s="430"/>
      <c r="G41" s="431"/>
      <c r="H41" s="432"/>
      <c r="I41" s="433"/>
      <c r="J41" s="434"/>
      <c r="K41" s="435"/>
      <c r="L41" s="436"/>
      <c r="M41" s="437"/>
      <c r="N41" s="438"/>
      <c r="O41" s="439"/>
      <c r="P41" s="422">
        <f>SUM(E41:O41)</f>
        <v>0</v>
      </c>
      <c r="Q41" s="423">
        <f>D41*P41</f>
        <v>0</v>
      </c>
      <c r="R41" s="440">
        <f>P41*8.92</f>
        <v>0</v>
      </c>
    </row>
    <row r="42" ht="16.5" customHeight="1">
      <c r="A42" t="s" s="425">
        <v>252</v>
      </c>
      <c r="B42" t="s" s="426">
        <v>253</v>
      </c>
      <c r="C42" s="427">
        <v>25</v>
      </c>
      <c r="D42" s="428">
        <v>143.33</v>
      </c>
      <c r="E42" s="429"/>
      <c r="F42" s="430"/>
      <c r="G42" s="431"/>
      <c r="H42" s="432"/>
      <c r="I42" s="433"/>
      <c r="J42" s="434"/>
      <c r="K42" s="435"/>
      <c r="L42" s="436"/>
      <c r="M42" s="437"/>
      <c r="N42" s="438"/>
      <c r="O42" s="439"/>
      <c r="P42" s="422">
        <f>SUM(E42:O42)</f>
        <v>0</v>
      </c>
      <c r="Q42" s="423">
        <f>D42*P42</f>
        <v>0</v>
      </c>
      <c r="R42" s="440">
        <f>P42*8.77</f>
        <v>0</v>
      </c>
    </row>
    <row r="43" ht="16.5" customHeight="1">
      <c r="A43" t="s" s="425">
        <v>254</v>
      </c>
      <c r="B43" t="s" s="426">
        <v>255</v>
      </c>
      <c r="C43" s="427">
        <v>4</v>
      </c>
      <c r="D43" s="428">
        <v>92.5</v>
      </c>
      <c r="E43" s="441"/>
      <c r="F43" s="442"/>
      <c r="G43" s="443"/>
      <c r="H43" s="444"/>
      <c r="I43" s="445"/>
      <c r="J43" s="446"/>
      <c r="K43" s="447"/>
      <c r="L43" s="448"/>
      <c r="M43" s="449"/>
      <c r="N43" s="450"/>
      <c r="O43" s="451"/>
      <c r="P43" s="422">
        <f>SUM(E43:O43)</f>
        <v>0</v>
      </c>
      <c r="Q43" s="423">
        <f>D43*P43</f>
        <v>0</v>
      </c>
      <c r="R43" s="452">
        <f>P43*4.54</f>
        <v>0</v>
      </c>
    </row>
    <row r="44" ht="16.5" customHeight="1">
      <c r="A44" t="s" s="425">
        <v>256</v>
      </c>
      <c r="B44" t="s" s="426">
        <v>257</v>
      </c>
      <c r="C44" s="427">
        <v>58</v>
      </c>
      <c r="D44" s="428">
        <v>209.17</v>
      </c>
      <c r="E44" s="453"/>
      <c r="F44" s="454"/>
      <c r="G44" s="455"/>
      <c r="H44" s="456"/>
      <c r="I44" s="457"/>
      <c r="J44" s="458"/>
      <c r="K44" s="459"/>
      <c r="L44" s="460"/>
      <c r="M44" s="461"/>
      <c r="N44" s="462"/>
      <c r="O44" s="463"/>
      <c r="P44" s="422">
        <f>SUM(E44:O44)</f>
        <v>0</v>
      </c>
      <c r="Q44" s="423">
        <f>D44*P44</f>
        <v>0</v>
      </c>
      <c r="R44" s="464">
        <f>P44*13.61</f>
        <v>0</v>
      </c>
    </row>
    <row r="45" ht="16.5" customHeight="1">
      <c r="A45" t="s" s="425">
        <v>258</v>
      </c>
      <c r="B45" t="s" s="426">
        <v>259</v>
      </c>
      <c r="C45" s="427">
        <v>39</v>
      </c>
      <c r="D45" s="428">
        <v>220.83</v>
      </c>
      <c r="E45" s="429"/>
      <c r="F45" s="430"/>
      <c r="G45" s="431"/>
      <c r="H45" s="432"/>
      <c r="I45" s="433"/>
      <c r="J45" s="434"/>
      <c r="K45" s="435"/>
      <c r="L45" s="436"/>
      <c r="M45" s="437"/>
      <c r="N45" s="438"/>
      <c r="O45" s="439"/>
      <c r="P45" s="422">
        <f>SUM(E45:O45)</f>
        <v>0</v>
      </c>
      <c r="Q45" s="423">
        <f>D45*P45</f>
        <v>0</v>
      </c>
      <c r="R45" s="440">
        <f>P45*15.12</f>
        <v>0</v>
      </c>
    </row>
    <row r="46" ht="16.5" customHeight="1">
      <c r="A46" t="s" s="425">
        <v>260</v>
      </c>
      <c r="B46" t="s" s="426">
        <v>261</v>
      </c>
      <c r="C46" s="427">
        <v>35</v>
      </c>
      <c r="D46" s="428">
        <v>246.37</v>
      </c>
      <c r="E46" s="429"/>
      <c r="F46" s="430"/>
      <c r="G46" s="431"/>
      <c r="H46" s="432"/>
      <c r="I46" s="433"/>
      <c r="J46" s="434"/>
      <c r="K46" s="435"/>
      <c r="L46" s="436"/>
      <c r="M46" s="437"/>
      <c r="N46" s="438"/>
      <c r="O46" s="439"/>
      <c r="P46" s="422">
        <f>SUM(E46:O46)</f>
        <v>0</v>
      </c>
      <c r="Q46" s="423">
        <f>D46*P46</f>
        <v>0</v>
      </c>
      <c r="R46" s="440">
        <f>P46*15.12</f>
        <v>0</v>
      </c>
    </row>
    <row r="47" ht="16.5" customHeight="1">
      <c r="A47" t="s" s="425">
        <v>262</v>
      </c>
      <c r="B47" t="s" s="426">
        <v>263</v>
      </c>
      <c r="C47" s="427">
        <v>55</v>
      </c>
      <c r="D47" s="428">
        <v>305</v>
      </c>
      <c r="E47" s="429"/>
      <c r="F47" s="430"/>
      <c r="G47" s="431"/>
      <c r="H47" s="432"/>
      <c r="I47" s="433"/>
      <c r="J47" s="434"/>
      <c r="K47" s="435"/>
      <c r="L47" s="436"/>
      <c r="M47" s="437"/>
      <c r="N47" s="438"/>
      <c r="O47" s="439"/>
      <c r="P47" s="422">
        <f>SUM(E47:O47)</f>
        <v>0</v>
      </c>
      <c r="Q47" s="423">
        <f>D47*P47</f>
        <v>0</v>
      </c>
      <c r="R47" s="440">
        <f>P47*17.09</f>
        <v>0</v>
      </c>
    </row>
    <row r="48" ht="16.5" customHeight="1">
      <c r="A48" t="s" s="425">
        <v>264</v>
      </c>
      <c r="B48" t="s" s="426">
        <v>251</v>
      </c>
      <c r="C48" s="427">
        <v>22</v>
      </c>
      <c r="D48" s="428">
        <v>216.67</v>
      </c>
      <c r="E48" s="441"/>
      <c r="F48" s="442"/>
      <c r="G48" s="443"/>
      <c r="H48" s="444"/>
      <c r="I48" s="445"/>
      <c r="J48" s="446"/>
      <c r="K48" s="447"/>
      <c r="L48" s="448"/>
      <c r="M48" s="449"/>
      <c r="N48" s="450"/>
      <c r="O48" s="451"/>
      <c r="P48" s="422">
        <f>SUM(E48:O48)</f>
        <v>0</v>
      </c>
      <c r="Q48" s="423">
        <f>D48*P48</f>
        <v>0</v>
      </c>
      <c r="R48" s="440">
        <f>P48*14.71</f>
        <v>0</v>
      </c>
    </row>
    <row r="49" ht="16.5" customHeight="1">
      <c r="A49" t="s" s="425">
        <v>265</v>
      </c>
      <c r="B49" t="s" s="426">
        <v>253</v>
      </c>
      <c r="C49" s="427">
        <v>25</v>
      </c>
      <c r="D49" s="428">
        <v>205</v>
      </c>
      <c r="E49" s="453"/>
      <c r="F49" s="454"/>
      <c r="G49" s="455"/>
      <c r="H49" s="456"/>
      <c r="I49" s="457"/>
      <c r="J49" s="458"/>
      <c r="K49" s="459"/>
      <c r="L49" s="460"/>
      <c r="M49" s="461"/>
      <c r="N49" s="462"/>
      <c r="O49" s="463"/>
      <c r="P49" s="422">
        <f>SUM(E49:O49)</f>
        <v>0</v>
      </c>
      <c r="Q49" s="423">
        <f>D49*P49</f>
        <v>0</v>
      </c>
      <c r="R49" s="440">
        <f>P49*14.82</f>
        <v>0</v>
      </c>
    </row>
    <row r="50" ht="16.5" customHeight="1">
      <c r="A50" t="s" s="425">
        <v>266</v>
      </c>
      <c r="B50" t="s" s="426">
        <v>255</v>
      </c>
      <c r="C50" s="427">
        <v>4</v>
      </c>
      <c r="D50" s="465">
        <v>134.17</v>
      </c>
      <c r="E50" s="429"/>
      <c r="F50" s="430"/>
      <c r="G50" s="431"/>
      <c r="H50" s="432"/>
      <c r="I50" s="433"/>
      <c r="J50" s="434"/>
      <c r="K50" s="435"/>
      <c r="L50" s="436"/>
      <c r="M50" s="437"/>
      <c r="N50" s="438"/>
      <c r="O50" s="439"/>
      <c r="P50" s="422">
        <f>SUM(E50:O50)</f>
        <v>0</v>
      </c>
      <c r="Q50" s="423">
        <f>D50*P50</f>
        <v>0</v>
      </c>
      <c r="R50" s="440">
        <f>P50*6.05</f>
        <v>0</v>
      </c>
    </row>
    <row r="51" ht="16.5" customHeight="1">
      <c r="A51" t="s" s="425">
        <v>267</v>
      </c>
      <c r="B51" t="s" s="426">
        <v>257</v>
      </c>
      <c r="C51" s="427">
        <v>58</v>
      </c>
      <c r="D51" s="428">
        <v>325</v>
      </c>
      <c r="E51" s="429"/>
      <c r="F51" s="430"/>
      <c r="G51" s="431"/>
      <c r="H51" s="432"/>
      <c r="I51" s="433"/>
      <c r="J51" s="434"/>
      <c r="K51" s="435"/>
      <c r="L51" s="436"/>
      <c r="M51" s="437"/>
      <c r="N51" s="438"/>
      <c r="O51" s="439"/>
      <c r="P51" s="422">
        <f>SUM(E51:O51)</f>
        <v>0</v>
      </c>
      <c r="Q51" s="423">
        <f>D51*P51</f>
        <v>0</v>
      </c>
      <c r="R51" s="440">
        <f>P51*23.13</f>
        <v>0</v>
      </c>
    </row>
    <row r="52" ht="16.5" customHeight="1">
      <c r="A52" t="s" s="425">
        <v>268</v>
      </c>
      <c r="B52" t="s" s="426">
        <v>259</v>
      </c>
      <c r="C52" s="427">
        <v>39</v>
      </c>
      <c r="D52" s="428">
        <v>263.33</v>
      </c>
      <c r="E52" s="429"/>
      <c r="F52" s="430"/>
      <c r="G52" s="431"/>
      <c r="H52" s="432"/>
      <c r="I52" s="433"/>
      <c r="J52" s="434"/>
      <c r="K52" s="435"/>
      <c r="L52" s="436"/>
      <c r="M52" s="437"/>
      <c r="N52" s="438"/>
      <c r="O52" s="439"/>
      <c r="P52" s="422">
        <f>SUM(E52:O52)</f>
        <v>0</v>
      </c>
      <c r="Q52" s="423">
        <f>D52*P52</f>
        <v>0</v>
      </c>
      <c r="R52" s="440">
        <f>P52*24.19</f>
        <v>0</v>
      </c>
    </row>
    <row r="53" ht="16.5" customHeight="1">
      <c r="A53" t="s" s="425">
        <v>269</v>
      </c>
      <c r="B53" t="s" s="426">
        <v>261</v>
      </c>
      <c r="C53" s="427">
        <v>35</v>
      </c>
      <c r="D53" s="428">
        <v>261.67</v>
      </c>
      <c r="E53" s="429"/>
      <c r="F53" s="430"/>
      <c r="G53" s="431"/>
      <c r="H53" s="432"/>
      <c r="I53" s="433"/>
      <c r="J53" s="434"/>
      <c r="K53" s="435"/>
      <c r="L53" s="436"/>
      <c r="M53" s="437"/>
      <c r="N53" s="438"/>
      <c r="O53" s="439"/>
      <c r="P53" s="422">
        <f>SUM(E53:O53)</f>
        <v>0</v>
      </c>
      <c r="Q53" s="423">
        <f>D53*P53</f>
        <v>0</v>
      </c>
      <c r="R53" s="440">
        <f>P53*25.7</f>
        <v>0</v>
      </c>
    </row>
    <row r="54" ht="16.5" customHeight="1">
      <c r="A54" t="s" s="469">
        <v>270</v>
      </c>
      <c r="B54" t="s" s="470">
        <v>263</v>
      </c>
      <c r="C54" s="471">
        <v>55</v>
      </c>
      <c r="D54" s="472">
        <v>333.33</v>
      </c>
      <c r="E54" s="473"/>
      <c r="F54" s="474"/>
      <c r="G54" s="475"/>
      <c r="H54" s="476"/>
      <c r="I54" s="477"/>
      <c r="J54" s="478"/>
      <c r="K54" s="479"/>
      <c r="L54" s="480"/>
      <c r="M54" s="481"/>
      <c r="N54" s="482"/>
      <c r="O54" s="483"/>
      <c r="P54" s="422">
        <f>SUM(E54:O54)</f>
        <v>0</v>
      </c>
      <c r="Q54" s="423">
        <f>D54*P54</f>
        <v>0</v>
      </c>
      <c r="R54" s="484">
        <f>P54*27.22</f>
        <v>0</v>
      </c>
    </row>
    <row r="55" ht="14.65" customHeight="1">
      <c r="A55" t="s" s="485">
        <v>271</v>
      </c>
      <c r="B55" s="486"/>
      <c r="C55" s="487"/>
      <c r="D55" s="488">
        <f>D4+D5+D6+D7+D8+D9+D10+D11+D12+D13+D14+D15+D16+D17+D18+D19+D20+D21+D22+D23+D24+D25+D26+D27+D28+D29+D30+D31+D32+D33+D34+D35+D36+D37+D38+D39+D40+D41+D42+D43+D44+D45+D46+D47+D48+D49+D50+D51+D52+D53+D54</f>
        <v>6604.52</v>
      </c>
      <c r="E55" s="489">
        <f>E4+E5+E6+E7+E8+E9+E10+E11+E12+E13+E14+E15+E16+E17+E18+E19+E20+E21+E22+E23+E24+E25+E26+E27+E28+E29+E30+E31+E32+E33+E34+E35+E36+E37+E38+E39+E40+E41+E42+E43+E44+E45+E46+E47+E48+E49+E50+E51+E52+E53+E54</f>
        <v>0</v>
      </c>
      <c r="F55" s="489">
        <f>F4+F5+F6+F7+F8+F9+F10+F11+F12+F13+F14+F15+F16+F17+F18+F19+F20+F21+F22+F23+F24+F25+F26+F27+F28+F29+F30+F31+F32+F33+F34+F35+F36+F37+F38+F39+F40+F41+F42+F43+F44+F45+F46+F47+F48+F49+F50+F51+F52+F53+F54</f>
        <v>0</v>
      </c>
      <c r="G55" s="489">
        <f>G4+G5+G6+G7+G8+G9+G10+G11+G12+G13+G14+G15+G16+G17+G18+G19+G20+G21+G22+G23+G24+G25+G26+G27+G28+G29+G30+G31+G32+G33+G34+G35+G36+G37+G38+G39+G40+G41+G42+G43+G44+G45+G46+G47+G48+G49+G50+G51+G52+G53+G54</f>
        <v>0</v>
      </c>
      <c r="H55" s="489">
        <f>H4+H5+H6+H7+H8+H9+H10+H11+H12+H13+H14+H15+H16+H17+H18+H19+H20+H21+H22+H23+H24+H25+H26+H27+H28+H29+H30+H31+H32+H33+H34+H35+H36+H37+H38+H39+H40+H41+H42+H43+H44+H45+H46+H47+H48+H49+H50+H51+H52+H53+H54</f>
        <v>0</v>
      </c>
      <c r="I55" s="489">
        <f>I4+I5+I6+I7+I8+I9+I10+I11+I12+I13+I14+I15+I16+I17+I18+I19+I20+I21+I22+I23+I24+I25+I26+I27+I28+I29+I30+I31+I32+I33+I34+I35+I36+I37+I38+I39+I40+I41+I42+I43+I44+I45+I46+I47+I48+I49+I50+I51+I52+I53+I54</f>
        <v>0</v>
      </c>
      <c r="J55" s="489">
        <f>J4+J5+J6+J7+J8+J9+J10+J11+J12+J13+J14+J15+J16+J17+J18+J19+J20+J21+J22+J23+J24+J25+J26+J27+J28+J29+J30+J31+J32+J33+J34+J35+J36+J37+J38+J39+J40+J41+J42+J43+J44+J45+J46+J47+J48+J49+J50+J51+J52+J53+J54</f>
        <v>0</v>
      </c>
      <c r="K55" s="489">
        <f>K4+K5+K6+K7+K8+K9+K10+K11+K12+K13+K14+K15+K16+K17+K18+K19+K20+K21+K22+K23+K24+K25+K26+K27+K28+K29+K30+K31+K32+K33+K34+K35+K36+K37+K38+K39+K40+K41+K42+K43+K44+K45+K46+K47+K48+K49+K50+K51+K52+K53+K54</f>
        <v>0</v>
      </c>
      <c r="L55" s="489">
        <f>L4+L5+L6+L7+L8+L9+L10+L11+L12+L13+L14+L15+L16+L17+L18+L19+L20+L21+L22+L23+L24+L25+L26+L27+L28+L29+L30+L31+L32+L33+L34+L35+L36+L37+L38+L39+L40+L41+L42+L43+L44+L45+L46+L47+L48+L49+L50+L51+L52+L53+L54</f>
        <v>0</v>
      </c>
      <c r="M55" s="489">
        <f>M4+M5+M6+M7+M8+M9+M10+M11+M12+M13+M14+M15+M16+M17+M18+M19+M20+M21+M22+M23+M24+M25+M26+M27+M28+M29+M30+M31+M32+M33+M34+M35+M36+M37+M38+M39+M40+M41+M42+M43+M44+M45+M46+M47+M48+M49+M50+M51+M52+M53+M54</f>
        <v>0</v>
      </c>
      <c r="N55" s="489">
        <f>N4+N5+N6+N7+N8+N9+N10+N11+N12+N13+N14+N15+N16+N17+N18+N19+N20+N21+N22+N23+N24+N25+N26+N27+N28+N29+N30+N31+N32+N33+N34+N35+N36+N37+N38+N39+N40+N41+N42+N43+N44+N45+N46+N47+N48+N49+N50+N51+N52+N53+N54</f>
        <v>0</v>
      </c>
      <c r="O55" s="489">
        <f>O4+O5+O6+O7+O8+O9+O10+O11+O12+O13+O14+O15+O16+O17+O18+O19+O20+O21+O22+O23+O24+O25+O26+O27+O28+O29+O30+O31+O32+O33+O34+O35+O36+O37+O38+O39+O40+O41+O42+O43+O44+O45+O46+O47+O48+O49+O50+O51+O52+O53+O54</f>
        <v>0</v>
      </c>
      <c r="P55" s="489">
        <f>P4+P5+P6+P7+P8+P9+P10+P11+P12+P13+P14+P15+P16+P17+P18+P19+P20+P21+P22+P23+P24+P25+P26+P27+P28+P29+P30+P31+P32+P33+P34+P35+P36+P37+P38+P39+P40+P41+P42+P43+P44+P45+P46+P47+P48+P49+P50+P51+P52+P53+P54</f>
        <v>0</v>
      </c>
      <c r="Q55" s="488">
        <f>Q4+Q5+Q6+Q7+Q8+Q9+Q10+Q11+Q12+Q13+Q14+Q15+Q16+Q17+Q18+Q19+Q20+Q21+Q22+Q23+Q24+Q25+Q26+Q27+Q28+Q29+Q30+Q31+Q32+Q33+Q34+Q35+Q36+Q37+Q38+Q39+Q40+Q41+Q42+Q43+Q44+Q45+Q46+Q47+Q48+Q49+Q50+Q51+Q52+Q53+Q54</f>
        <v>0</v>
      </c>
      <c r="R55" s="490">
        <f>R4+R5+R6+R7+R8+R9+R10+R11+R12+R13+R14+R15+R16+R17+R18+R19+R20+R21+R22+R23+R24+R25+R26+R27+R28+R29+R30+R31+R32+R33+R34+R35+R36+R37+R38+R39+R40+R41+R42+R43+R44+R45+R46+R47+R48+R49+R50+R51+R52+R53+R54</f>
        <v>0</v>
      </c>
    </row>
  </sheetData>
  <mergeCells count="6">
    <mergeCell ref="R2:R3"/>
    <mergeCell ref="E2:N2"/>
    <mergeCell ref="P2:P3"/>
    <mergeCell ref="A2:D2"/>
    <mergeCell ref="Q2:Q3"/>
    <mergeCell ref="A1:Q1"/>
  </mergeCells>
  <conditionalFormatting sqref="Q4:R54">
    <cfRule type="cellIs" dxfId="2" priority="1" operator="lessThan" stopIfTrue="1">
      <formula>0</formula>
    </cfRule>
  </conditionalFormatting>
  <hyperlinks>
    <hyperlink ref="A4" r:id="rId1" location="" tooltip="" display=""/>
    <hyperlink ref="A5" r:id="rId2" location="" tooltip="" display=""/>
    <hyperlink ref="A6" r:id="rId3" location="" tooltip="" display=""/>
    <hyperlink ref="A7" r:id="rId4" location="" tooltip="" display=""/>
    <hyperlink ref="A8" r:id="rId5" location="" tooltip="" display=""/>
    <hyperlink ref="A9" r:id="rId6" location="" tooltip="" display=""/>
    <hyperlink ref="A10" r:id="rId7" location="" tooltip="" display=""/>
    <hyperlink ref="A11" r:id="rId8" location="" tooltip="" display=""/>
    <hyperlink ref="A13" r:id="rId9" location="" tooltip="" display=""/>
    <hyperlink ref="A15" r:id="rId10" location="" tooltip="" display=""/>
    <hyperlink ref="A17" r:id="rId11" location="" tooltip="" display=""/>
    <hyperlink ref="A19" r:id="rId12" location="" tooltip="" display=""/>
    <hyperlink ref="A21" r:id="rId13" location="" tooltip="" display=""/>
    <hyperlink ref="A23" r:id="rId14" location="" tooltip="" display=""/>
    <hyperlink ref="A25" r:id="rId15" location="" tooltip="" display=""/>
    <hyperlink ref="A27" r:id="rId16" location="" tooltip="" display=""/>
    <hyperlink ref="A28" r:id="rId17" location="" tooltip="" display=""/>
    <hyperlink ref="A29" r:id="rId18" location="" tooltip="" display=""/>
    <hyperlink ref="A30" r:id="rId19" location="" tooltip="" display=""/>
    <hyperlink ref="A31" r:id="rId20" location="" tooltip="" display=""/>
    <hyperlink ref="A32" r:id="rId21" location="" tooltip="" display=""/>
    <hyperlink ref="A33" r:id="rId22" location="" tooltip="" display=""/>
    <hyperlink ref="A34" r:id="rId23" location="" tooltip="" display=""/>
    <hyperlink ref="A35" r:id="rId24" location="" tooltip="" display=""/>
    <hyperlink ref="A36" r:id="rId25" location="" tooltip="" display=""/>
    <hyperlink ref="A37" r:id="rId26" location="" tooltip="" display=""/>
    <hyperlink ref="A38" r:id="rId27" location="" tooltip="" display=""/>
    <hyperlink ref="A39" r:id="rId28" location="" tooltip="" display=""/>
    <hyperlink ref="A40" r:id="rId29" location="" tooltip="" display=""/>
    <hyperlink ref="A41" r:id="rId30" location="" tooltip="" display=""/>
    <hyperlink ref="A42" r:id="rId31" location="" tooltip="" display=""/>
    <hyperlink ref="A43" r:id="rId32" location="" tooltip="" display=""/>
    <hyperlink ref="A44" r:id="rId33" location="" tooltip="" display=""/>
    <hyperlink ref="A45" r:id="rId34" location="" tooltip="" display=""/>
    <hyperlink ref="A46" r:id="rId35" location="" tooltip="" display=""/>
    <hyperlink ref="A47" r:id="rId36" location="" tooltip="" display=""/>
    <hyperlink ref="A48" r:id="rId37" location="" tooltip="" display=""/>
    <hyperlink ref="A49" r:id="rId38" location="" tooltip="" display=""/>
    <hyperlink ref="A50" r:id="rId39" location="" tooltip="" display=""/>
    <hyperlink ref="A51" r:id="rId40" location="" tooltip="" display=""/>
    <hyperlink ref="A52" r:id="rId41" location="" tooltip="" display=""/>
    <hyperlink ref="A53" r:id="rId42" location="" tooltip="" display=""/>
    <hyperlink ref="A54" r:id="rId43" location="" tooltip="" display=""/>
  </hyperlinks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&amp;L&amp;"Helvetica,Regular"&amp;12&amp;K000000	&amp;P</oddFooter>
  </headerFooter>
  <drawing r:id="rId44"/>
  <legacyDrawing r:id="rId45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27"/>
  <sheetViews>
    <sheetView workbookViewId="0" showGridLines="0" defaultGridColor="1"/>
  </sheetViews>
  <sheetFormatPr defaultColWidth="16.3333" defaultRowHeight="15.4" customHeight="1" outlineLevelRow="0" outlineLevelCol="0"/>
  <cols>
    <col min="1" max="1" width="16.3516" style="491" customWidth="1"/>
    <col min="2" max="2" width="7.35156" style="491" customWidth="1"/>
    <col min="3" max="3" width="7.35156" style="491" customWidth="1"/>
    <col min="4" max="4" width="7.17188" style="491" customWidth="1"/>
    <col min="5" max="5" width="7" style="491" customWidth="1"/>
    <col min="6" max="6" width="7.17188" style="491" customWidth="1"/>
    <col min="7" max="7" width="7.17188" style="491" customWidth="1"/>
    <col min="8" max="8" width="6.85156" style="491" customWidth="1"/>
    <col min="9" max="9" width="7.35156" style="491" customWidth="1"/>
    <col min="10" max="10" width="7.17188" style="491" customWidth="1"/>
    <col min="11" max="11" width="7.67188" style="491" customWidth="1"/>
    <col min="12" max="12" width="7.85156" style="491" customWidth="1"/>
    <col min="13" max="13" width="7.85156" style="491" customWidth="1"/>
    <col min="14" max="14" width="7.67188" style="491" customWidth="1"/>
    <col min="15" max="15" width="8" style="491" customWidth="1"/>
    <col min="16" max="256" width="16.3516" style="491" customWidth="1"/>
  </cols>
  <sheetData>
    <row r="1" ht="18.1" customHeight="1">
      <c r="A1" s="492"/>
      <c r="B1" s="493"/>
      <c r="C1" s="494"/>
      <c r="D1" s="494"/>
      <c r="E1" s="495"/>
      <c r="F1" s="496"/>
      <c r="G1" s="495"/>
      <c r="H1" s="494"/>
      <c r="I1" s="494"/>
      <c r="J1" s="494"/>
      <c r="K1" s="494"/>
      <c r="L1" s="494"/>
      <c r="M1" s="494"/>
      <c r="N1" s="494"/>
      <c r="O1" s="497"/>
    </row>
    <row r="2" ht="15.6" customHeight="1">
      <c r="A2" s="249"/>
      <c r="B2" s="498"/>
      <c r="C2" s="499"/>
      <c r="D2" s="500"/>
      <c r="E2" s="501"/>
      <c r="F2" t="s" s="502">
        <v>272</v>
      </c>
      <c r="G2" s="503"/>
      <c r="H2" s="498"/>
      <c r="I2" s="499"/>
      <c r="J2" s="499"/>
      <c r="K2" s="499"/>
      <c r="L2" s="499"/>
      <c r="M2" s="499"/>
      <c r="N2" s="499"/>
      <c r="O2" s="500"/>
    </row>
    <row r="3" ht="15.6" customHeight="1">
      <c r="A3" s="504"/>
      <c r="B3" s="505">
        <v>20</v>
      </c>
      <c r="C3" s="506">
        <v>30</v>
      </c>
      <c r="D3" s="506">
        <v>40</v>
      </c>
      <c r="E3" s="507">
        <v>50</v>
      </c>
      <c r="F3" s="507">
        <v>60</v>
      </c>
      <c r="G3" s="507">
        <v>70</v>
      </c>
      <c r="H3" s="506">
        <v>80</v>
      </c>
      <c r="I3" s="506">
        <v>90</v>
      </c>
      <c r="J3" s="506">
        <v>100</v>
      </c>
      <c r="K3" s="506">
        <v>120</v>
      </c>
      <c r="L3" s="506">
        <v>140</v>
      </c>
      <c r="M3" s="506">
        <v>160</v>
      </c>
      <c r="N3" s="506">
        <v>180</v>
      </c>
      <c r="O3" s="508">
        <v>200</v>
      </c>
    </row>
    <row r="4" ht="28" customHeight="1">
      <c r="A4" t="s" s="509">
        <v>273</v>
      </c>
      <c r="B4" t="s" s="510">
        <v>83</v>
      </c>
      <c r="C4" t="s" s="511">
        <v>83</v>
      </c>
      <c r="D4" s="512">
        <v>0.31</v>
      </c>
      <c r="E4" s="512">
        <v>0.35</v>
      </c>
      <c r="F4" s="512">
        <v>0.38</v>
      </c>
      <c r="G4" t="s" s="511">
        <v>83</v>
      </c>
      <c r="H4" s="512">
        <v>0.51</v>
      </c>
      <c r="I4" t="s" s="511">
        <v>83</v>
      </c>
      <c r="J4" s="512">
        <v>0.6</v>
      </c>
      <c r="K4" s="512">
        <v>1.17</v>
      </c>
      <c r="L4" s="512">
        <v>1.67</v>
      </c>
      <c r="M4" s="512">
        <v>2.07</v>
      </c>
      <c r="N4" s="512">
        <v>2.44</v>
      </c>
      <c r="O4" s="513">
        <v>2.78</v>
      </c>
    </row>
    <row r="5" ht="40" customHeight="1">
      <c r="A5" t="s" s="514">
        <v>274</v>
      </c>
      <c r="B5" t="s" s="515">
        <v>83</v>
      </c>
      <c r="C5" t="s" s="516">
        <v>83</v>
      </c>
      <c r="D5" s="517">
        <v>0.42</v>
      </c>
      <c r="E5" s="517">
        <v>0.5</v>
      </c>
      <c r="F5" s="517">
        <v>0.53</v>
      </c>
      <c r="G5" s="517">
        <v>0.5600000000000001</v>
      </c>
      <c r="H5" s="517">
        <v>0.58</v>
      </c>
      <c r="I5" t="s" s="516">
        <v>83</v>
      </c>
      <c r="J5" s="517">
        <v>0.6899999999999999</v>
      </c>
      <c r="K5" s="517">
        <v>0.89</v>
      </c>
      <c r="L5" t="s" s="516">
        <v>83</v>
      </c>
      <c r="M5" t="s" s="516">
        <v>83</v>
      </c>
      <c r="N5" t="s" s="516">
        <v>83</v>
      </c>
      <c r="O5" t="s" s="518">
        <v>83</v>
      </c>
    </row>
    <row r="6" ht="28.5" customHeight="1">
      <c r="A6" t="s" s="519">
        <v>275</v>
      </c>
      <c r="B6" s="520">
        <v>0.04</v>
      </c>
      <c r="C6" s="512">
        <v>0.05</v>
      </c>
      <c r="D6" s="512">
        <v>0.06</v>
      </c>
      <c r="E6" s="512">
        <v>0.07000000000000001</v>
      </c>
      <c r="F6" s="512">
        <v>0.09</v>
      </c>
      <c r="G6" s="512">
        <v>0.1</v>
      </c>
      <c r="H6" s="512">
        <v>0.12</v>
      </c>
      <c r="I6" t="s" s="511">
        <v>83</v>
      </c>
      <c r="J6" t="s" s="511">
        <v>83</v>
      </c>
      <c r="K6" t="s" s="511">
        <v>83</v>
      </c>
      <c r="L6" t="s" s="511">
        <v>83</v>
      </c>
      <c r="M6" t="s" s="511">
        <v>83</v>
      </c>
      <c r="N6" t="s" s="511">
        <v>83</v>
      </c>
      <c r="O6" t="s" s="521">
        <v>83</v>
      </c>
    </row>
    <row r="7" ht="28.5" customHeight="1">
      <c r="A7" t="s" s="522">
        <v>276</v>
      </c>
      <c r="B7" t="s" s="515">
        <v>83</v>
      </c>
      <c r="C7" s="517">
        <v>0.07000000000000001</v>
      </c>
      <c r="D7" s="517">
        <v>0.09</v>
      </c>
      <c r="E7" s="517">
        <v>0.11</v>
      </c>
      <c r="F7" s="517">
        <v>0.13</v>
      </c>
      <c r="G7" s="517">
        <v>0.15</v>
      </c>
      <c r="H7" s="517">
        <v>0.18</v>
      </c>
      <c r="I7" s="517">
        <v>0.21</v>
      </c>
      <c r="J7" s="517">
        <v>0.24</v>
      </c>
      <c r="K7" s="517">
        <v>0.29</v>
      </c>
      <c r="L7" t="s" s="516">
        <v>83</v>
      </c>
      <c r="M7" t="s" s="516">
        <v>83</v>
      </c>
      <c r="N7" t="s" s="516">
        <v>83</v>
      </c>
      <c r="O7" t="s" s="518">
        <v>83</v>
      </c>
    </row>
    <row r="8" ht="28.5" customHeight="1">
      <c r="A8" t="s" s="519">
        <v>277</v>
      </c>
      <c r="B8" t="s" s="523">
        <v>83</v>
      </c>
      <c r="C8" s="524">
        <v>0.11</v>
      </c>
      <c r="D8" s="524">
        <v>0.14</v>
      </c>
      <c r="E8" s="524">
        <v>0.16</v>
      </c>
      <c r="F8" s="524">
        <v>0.19</v>
      </c>
      <c r="G8" s="524">
        <v>0.22</v>
      </c>
      <c r="H8" s="524">
        <v>0.26</v>
      </c>
      <c r="I8" s="524">
        <v>0.29</v>
      </c>
      <c r="J8" s="524">
        <v>0.33</v>
      </c>
      <c r="K8" s="524">
        <v>0.41</v>
      </c>
      <c r="L8" t="s" s="525">
        <v>278</v>
      </c>
      <c r="M8" t="s" s="525">
        <v>279</v>
      </c>
      <c r="N8" t="s" s="525">
        <v>280</v>
      </c>
      <c r="O8" t="s" s="526">
        <v>281</v>
      </c>
    </row>
    <row r="9" ht="16.5" customHeight="1">
      <c r="A9" t="s" s="527">
        <v>282</v>
      </c>
      <c r="B9" s="528"/>
      <c r="C9" s="529">
        <v>0.16</v>
      </c>
      <c r="D9" s="530"/>
      <c r="E9" s="531"/>
      <c r="F9" s="531"/>
      <c r="G9" s="531"/>
      <c r="H9" s="531"/>
      <c r="I9" s="531"/>
      <c r="J9" s="531"/>
      <c r="K9" s="531"/>
      <c r="L9" s="531"/>
      <c r="M9" s="531"/>
      <c r="N9" s="531"/>
      <c r="O9" s="532"/>
    </row>
    <row r="10" ht="28.5" customHeight="1">
      <c r="A10" t="s" s="533">
        <v>283</v>
      </c>
      <c r="B10" s="534"/>
      <c r="C10" s="535">
        <v>0.4</v>
      </c>
      <c r="D10" s="536"/>
      <c r="E10" s="537"/>
      <c r="F10" s="537"/>
      <c r="G10" s="537"/>
      <c r="H10" s="537"/>
      <c r="I10" s="537"/>
      <c r="J10" s="537"/>
      <c r="K10" s="537"/>
      <c r="L10" s="537"/>
      <c r="M10" s="537"/>
      <c r="N10" s="537"/>
      <c r="O10" s="538"/>
    </row>
    <row r="11" ht="16.5" customHeight="1">
      <c r="A11" s="539"/>
      <c r="B11" s="540"/>
      <c r="C11" s="541"/>
      <c r="D11" s="542"/>
      <c r="E11" s="543"/>
      <c r="F11" s="543"/>
      <c r="G11" s="543"/>
      <c r="H11" s="543"/>
      <c r="I11" s="543"/>
      <c r="J11" s="543"/>
      <c r="K11" s="543"/>
      <c r="L11" s="543"/>
      <c r="M11" s="543"/>
      <c r="N11" s="543"/>
      <c r="O11" s="544"/>
    </row>
    <row r="12" ht="15" customHeight="1">
      <c r="A12" s="545"/>
      <c r="B12" s="546"/>
      <c r="C12" s="547"/>
      <c r="D12" s="542"/>
      <c r="E12" s="543"/>
      <c r="F12" s="543"/>
      <c r="G12" s="543"/>
      <c r="H12" s="543"/>
      <c r="I12" s="543"/>
      <c r="J12" s="543"/>
      <c r="K12" s="543"/>
      <c r="L12" s="543"/>
      <c r="M12" s="543"/>
      <c r="N12" s="543"/>
      <c r="O12" s="544"/>
    </row>
    <row r="13" ht="15" customHeight="1">
      <c r="A13" s="545"/>
      <c r="B13" s="546"/>
      <c r="C13" s="547"/>
      <c r="D13" s="542"/>
      <c r="E13" s="543"/>
      <c r="F13" s="543"/>
      <c r="G13" s="543"/>
      <c r="H13" s="543"/>
      <c r="I13" s="543"/>
      <c r="J13" s="543"/>
      <c r="K13" s="543"/>
      <c r="L13" s="543"/>
      <c r="M13" s="543"/>
      <c r="N13" s="543"/>
      <c r="O13" s="544"/>
    </row>
    <row r="14" ht="15" customHeight="1">
      <c r="A14" s="545"/>
      <c r="B14" s="546"/>
      <c r="C14" s="547"/>
      <c r="D14" s="548"/>
      <c r="E14" s="549"/>
      <c r="F14" s="549"/>
      <c r="G14" s="549"/>
      <c r="H14" s="549"/>
      <c r="I14" s="543"/>
      <c r="J14" s="543"/>
      <c r="K14" s="543"/>
      <c r="L14" s="543"/>
      <c r="M14" s="543"/>
      <c r="N14" s="543"/>
      <c r="O14" s="544"/>
    </row>
    <row r="15" ht="15" customHeight="1">
      <c r="A15" s="545"/>
      <c r="B15" s="550"/>
      <c r="C15" s="551"/>
      <c r="D15" s="552"/>
      <c r="E15" s="553"/>
      <c r="F15" t="s" s="554">
        <v>284</v>
      </c>
      <c r="G15" s="553"/>
      <c r="H15" s="555"/>
      <c r="I15" s="556"/>
      <c r="J15" s="543"/>
      <c r="K15" s="543"/>
      <c r="L15" s="543"/>
      <c r="M15" s="543"/>
      <c r="N15" s="543"/>
      <c r="O15" s="544"/>
    </row>
    <row r="16" ht="16.5" customHeight="1">
      <c r="A16" s="557"/>
      <c r="B16" s="558"/>
      <c r="C16" s="559"/>
      <c r="D16" s="560"/>
      <c r="E16" s="553"/>
      <c r="F16" s="553"/>
      <c r="G16" s="553"/>
      <c r="H16" s="553"/>
      <c r="I16" s="549"/>
      <c r="J16" s="549"/>
      <c r="K16" s="549"/>
      <c r="L16" s="549"/>
      <c r="M16" s="549"/>
      <c r="N16" s="549"/>
      <c r="O16" s="561"/>
    </row>
    <row r="17" ht="18.1" customHeight="1">
      <c r="A17" s="492"/>
      <c r="B17" s="493"/>
      <c r="C17" s="494"/>
      <c r="D17" s="494"/>
      <c r="E17" s="494"/>
      <c r="F17" s="562"/>
      <c r="G17" s="494"/>
      <c r="H17" s="494"/>
      <c r="I17" s="494"/>
      <c r="J17" s="494"/>
      <c r="K17" s="494"/>
      <c r="L17" s="494"/>
      <c r="M17" s="494"/>
      <c r="N17" s="494"/>
      <c r="O17" s="497"/>
    </row>
    <row r="18" ht="14.65" customHeight="1">
      <c r="A18" s="249"/>
      <c r="B18" s="498"/>
      <c r="C18" s="563"/>
      <c r="D18" s="564"/>
      <c r="E18" s="565"/>
      <c r="F18" s="566"/>
      <c r="G18" s="517"/>
      <c r="H18" t="s" s="567">
        <v>285</v>
      </c>
      <c r="I18" s="517"/>
      <c r="J18" s="517"/>
      <c r="K18" s="517"/>
      <c r="L18" s="517"/>
      <c r="M18" s="568"/>
      <c r="N18" s="499"/>
      <c r="O18" s="500"/>
    </row>
    <row r="19" ht="15.6" customHeight="1">
      <c r="A19" s="504"/>
      <c r="B19" s="505"/>
      <c r="C19" s="506">
        <v>30</v>
      </c>
      <c r="D19" s="506">
        <v>40</v>
      </c>
      <c r="E19" s="506">
        <v>50</v>
      </c>
      <c r="F19" s="506">
        <v>60</v>
      </c>
      <c r="G19" s="506">
        <v>70</v>
      </c>
      <c r="H19" s="506">
        <v>80</v>
      </c>
      <c r="I19" s="506">
        <v>90</v>
      </c>
      <c r="J19" s="506">
        <v>100</v>
      </c>
      <c r="K19" s="506">
        <v>120</v>
      </c>
      <c r="L19" s="506">
        <v>140</v>
      </c>
      <c r="M19" s="506">
        <v>160</v>
      </c>
      <c r="N19" s="506">
        <v>180</v>
      </c>
      <c r="O19" s="508">
        <v>200</v>
      </c>
    </row>
    <row r="20" ht="28" customHeight="1">
      <c r="A20" t="s" s="509">
        <v>273</v>
      </c>
      <c r="B20" t="s" s="510">
        <v>83</v>
      </c>
      <c r="C20" t="s" s="569">
        <v>83</v>
      </c>
      <c r="D20" s="512">
        <v>0</v>
      </c>
      <c r="E20" s="512">
        <v>0</v>
      </c>
      <c r="F20" s="512">
        <v>0</v>
      </c>
      <c r="G20" t="s" s="511">
        <v>83</v>
      </c>
      <c r="H20" s="512"/>
      <c r="I20" t="s" s="511">
        <v>83</v>
      </c>
      <c r="J20" s="512">
        <v>0</v>
      </c>
      <c r="K20" s="512">
        <v>0</v>
      </c>
      <c r="L20" s="512">
        <v>0</v>
      </c>
      <c r="M20" s="512">
        <v>0</v>
      </c>
      <c r="N20" s="512">
        <v>0</v>
      </c>
      <c r="O20" s="513">
        <v>0</v>
      </c>
    </row>
    <row r="21" ht="40" customHeight="1">
      <c r="A21" t="s" s="514">
        <v>274</v>
      </c>
      <c r="B21" t="s" s="515">
        <v>83</v>
      </c>
      <c r="C21" t="s" s="516">
        <v>83</v>
      </c>
      <c r="D21" s="517">
        <v>0</v>
      </c>
      <c r="E21" s="517">
        <v>0</v>
      </c>
      <c r="F21" s="517">
        <v>0</v>
      </c>
      <c r="G21" s="517">
        <v>0</v>
      </c>
      <c r="H21" s="517">
        <v>0</v>
      </c>
      <c r="I21" t="s" s="516">
        <v>83</v>
      </c>
      <c r="J21" s="517">
        <v>0</v>
      </c>
      <c r="K21" s="517">
        <v>0</v>
      </c>
      <c r="L21" t="s" s="516">
        <v>83</v>
      </c>
      <c r="M21" t="s" s="516">
        <v>83</v>
      </c>
      <c r="N21" t="s" s="516">
        <v>83</v>
      </c>
      <c r="O21" t="s" s="518">
        <v>83</v>
      </c>
    </row>
    <row r="22" ht="28.5" customHeight="1">
      <c r="A22" t="s" s="570">
        <v>275</v>
      </c>
      <c r="B22" s="520">
        <v>0</v>
      </c>
      <c r="C22" s="512">
        <v>0</v>
      </c>
      <c r="D22" s="512">
        <v>0</v>
      </c>
      <c r="E22" s="512">
        <v>0</v>
      </c>
      <c r="F22" t="s" s="511">
        <v>83</v>
      </c>
      <c r="G22" t="s" s="511">
        <v>83</v>
      </c>
      <c r="H22" t="s" s="511">
        <v>83</v>
      </c>
      <c r="I22" t="s" s="511">
        <v>83</v>
      </c>
      <c r="J22" t="s" s="511">
        <v>83</v>
      </c>
      <c r="K22" t="s" s="511">
        <v>83</v>
      </c>
      <c r="L22" t="s" s="511">
        <v>83</v>
      </c>
      <c r="M22" t="s" s="511">
        <v>83</v>
      </c>
      <c r="N22" t="s" s="511">
        <v>83</v>
      </c>
      <c r="O22" t="s" s="521">
        <v>83</v>
      </c>
    </row>
    <row r="23" ht="28.5" customHeight="1">
      <c r="A23" t="s" s="571">
        <v>276</v>
      </c>
      <c r="B23" t="s" s="515">
        <v>83</v>
      </c>
      <c r="C23" s="517">
        <v>0</v>
      </c>
      <c r="D23" s="517">
        <v>0</v>
      </c>
      <c r="E23" s="517">
        <v>0</v>
      </c>
      <c r="F23" s="517">
        <v>0</v>
      </c>
      <c r="G23" s="517">
        <v>0</v>
      </c>
      <c r="H23" s="517">
        <v>0</v>
      </c>
      <c r="I23" s="517">
        <v>0</v>
      </c>
      <c r="J23" s="517">
        <v>0</v>
      </c>
      <c r="K23" s="517">
        <v>0</v>
      </c>
      <c r="L23" t="s" s="516">
        <v>83</v>
      </c>
      <c r="M23" t="s" s="516">
        <v>83</v>
      </c>
      <c r="N23" t="s" s="516">
        <v>83</v>
      </c>
      <c r="O23" t="s" s="518">
        <v>83</v>
      </c>
    </row>
    <row r="24" ht="28.5" customHeight="1">
      <c r="A24" t="s" s="519">
        <v>277</v>
      </c>
      <c r="B24" t="s" s="523">
        <v>83</v>
      </c>
      <c r="C24" s="524">
        <v>0</v>
      </c>
      <c r="D24" s="524">
        <v>0</v>
      </c>
      <c r="E24" s="524">
        <v>0</v>
      </c>
      <c r="F24" s="524">
        <v>0</v>
      </c>
      <c r="G24" s="524">
        <v>0</v>
      </c>
      <c r="H24" s="524">
        <v>0</v>
      </c>
      <c r="I24" s="524">
        <v>0</v>
      </c>
      <c r="J24" s="524">
        <v>0</v>
      </c>
      <c r="K24" s="524">
        <v>0</v>
      </c>
      <c r="L24" t="s" s="525">
        <v>77</v>
      </c>
      <c r="M24" t="s" s="525">
        <v>77</v>
      </c>
      <c r="N24" t="s" s="525">
        <v>77</v>
      </c>
      <c r="O24" t="s" s="526">
        <v>77</v>
      </c>
    </row>
    <row r="25" ht="16.5" customHeight="1">
      <c r="A25" t="s" s="527">
        <v>282</v>
      </c>
      <c r="B25" s="528"/>
      <c r="C25" s="529">
        <v>0</v>
      </c>
      <c r="D25" s="530"/>
      <c r="E25" s="531"/>
      <c r="F25" s="531"/>
      <c r="G25" s="531"/>
      <c r="H25" s="531"/>
      <c r="I25" s="531"/>
      <c r="J25" s="531"/>
      <c r="K25" s="531"/>
      <c r="L25" s="531"/>
      <c r="M25" s="531"/>
      <c r="N25" s="531"/>
      <c r="O25" s="532"/>
    </row>
    <row r="26" ht="28" customHeight="1">
      <c r="A26" t="s" s="572">
        <v>283</v>
      </c>
      <c r="B26" s="534"/>
      <c r="C26" s="535">
        <v>0</v>
      </c>
      <c r="D26" s="536"/>
      <c r="E26" s="537"/>
      <c r="F26" s="537"/>
      <c r="G26" s="537"/>
      <c r="H26" s="537"/>
      <c r="I26" s="537"/>
      <c r="J26" s="537"/>
      <c r="K26" s="537"/>
      <c r="L26" s="537"/>
      <c r="M26" s="537"/>
      <c r="N26" s="537"/>
      <c r="O26" s="538"/>
    </row>
    <row r="27" ht="17" customHeight="1">
      <c r="A27" t="s" s="573">
        <v>286</v>
      </c>
      <c r="B27" s="574"/>
      <c r="C27" s="575">
        <f>D20*D4+E20*E4+F20*F4+H20*H4+J20*J4+K20*K4+L20*L4+M20*M4+N20*N4+O20*O4+D21*D5+E21*E5+F21*F5+G21*G5+H21*H5+J21*J5+K21*K5+C23*C7+D23*D7+E23*E7+F23*F7+G23*G7+H23*H7+I23*I7+J23*J7+K23*K7+C25*C9+C26*C10+B6*B22+C22*C6+D22*D6+E22*E6+C24*C8+D24*D8+E24*E8+F24*F8+G24*G8+H24*H8+I24*I8+J24*J8+K24*K8+L24*L8+M24*M8+N24*N8+O24*O8</f>
        <v>0</v>
      </c>
      <c r="D27" s="576"/>
      <c r="E27" s="577"/>
      <c r="F27" s="577"/>
      <c r="G27" s="577"/>
      <c r="H27" s="577"/>
      <c r="I27" s="577"/>
      <c r="J27" s="577"/>
      <c r="K27" s="577"/>
      <c r="L27" s="577"/>
      <c r="M27" s="577"/>
      <c r="N27" s="577"/>
      <c r="O27" s="578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